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rdanovy\Desktop\"/>
    </mc:Choice>
  </mc:AlternateContent>
  <xr:revisionPtr revIDLastSave="0" documentId="13_ncr:1_{C8A0D55B-914C-4E5A-BCFE-63F17C7B68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ditions" sheetId="5" r:id="rId1"/>
    <sheet name="Leasing" sheetId="2" r:id="rId2"/>
    <sheet name="Mobility" sheetId="1" r:id="rId3"/>
    <sheet name="Customer" sheetId="3" r:id="rId4"/>
    <sheet name="data" sheetId="7" r:id="rId5"/>
  </sheets>
  <definedNames>
    <definedName name="_xlnm.Print_Area" localSheetId="0">Conditions!$A$1:$R$27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" l="1"/>
  <c r="Y3" i="1"/>
  <c r="U3" i="1"/>
  <c r="AA4" i="1"/>
  <c r="U4" i="1" l="1"/>
  <c r="Q5" i="5"/>
  <c r="R5" i="5" s="1"/>
  <c r="Q6" i="5"/>
  <c r="R6" i="5" s="1"/>
  <c r="Q7" i="5"/>
  <c r="R7" i="5" s="1"/>
  <c r="Q8" i="5"/>
  <c r="R8" i="5"/>
  <c r="Q9" i="5"/>
  <c r="R9" i="5" s="1"/>
  <c r="Q10" i="5"/>
  <c r="R10" i="5"/>
  <c r="Q11" i="5"/>
  <c r="R11" i="5" s="1"/>
  <c r="Q12" i="5"/>
  <c r="R12" i="5"/>
  <c r="W5" i="2" l="1"/>
  <c r="X5" i="2"/>
  <c r="Y5" i="2"/>
  <c r="Z5" i="2"/>
  <c r="AA5" i="2"/>
  <c r="W6" i="2"/>
  <c r="X6" i="2"/>
  <c r="Y6" i="2"/>
  <c r="Z6" i="2"/>
  <c r="AA6" i="2"/>
  <c r="W7" i="2"/>
  <c r="X7" i="2"/>
  <c r="Y7" i="2"/>
  <c r="Z7" i="2"/>
  <c r="AA7" i="2"/>
  <c r="W8" i="2"/>
  <c r="X8" i="2"/>
  <c r="Y8" i="2"/>
  <c r="Z8" i="2"/>
  <c r="AA8" i="2"/>
  <c r="W9" i="2"/>
  <c r="X9" i="2"/>
  <c r="Y9" i="2"/>
  <c r="Z9" i="2"/>
  <c r="AA9" i="2"/>
  <c r="W10" i="2"/>
  <c r="X10" i="2"/>
  <c r="Y10" i="2"/>
  <c r="Z10" i="2"/>
  <c r="AA10" i="2"/>
  <c r="W12" i="2"/>
  <c r="X12" i="2"/>
  <c r="Y12" i="2"/>
  <c r="Z12" i="2"/>
  <c r="AA12" i="2"/>
  <c r="W13" i="2"/>
  <c r="X13" i="2"/>
  <c r="Y13" i="2"/>
  <c r="Z13" i="2"/>
  <c r="AA13" i="2"/>
  <c r="W14" i="2"/>
  <c r="X14" i="2"/>
  <c r="Y14" i="2"/>
  <c r="Z14" i="2"/>
  <c r="AA14" i="2"/>
  <c r="W15" i="2"/>
  <c r="X15" i="2"/>
  <c r="Y15" i="2"/>
  <c r="Z15" i="2"/>
  <c r="AA15" i="2"/>
  <c r="W16" i="2"/>
  <c r="X16" i="2"/>
  <c r="Y16" i="2"/>
  <c r="Z16" i="2"/>
  <c r="AA16" i="2"/>
  <c r="W17" i="2"/>
  <c r="X17" i="2"/>
  <c r="Y17" i="2"/>
  <c r="Z17" i="2"/>
  <c r="AA17" i="2"/>
  <c r="W18" i="2"/>
  <c r="X18" i="2"/>
  <c r="Y18" i="2"/>
  <c r="Z18" i="2"/>
  <c r="AA18" i="2"/>
  <c r="W19" i="2"/>
  <c r="X19" i="2"/>
  <c r="Y19" i="2"/>
  <c r="Z19" i="2"/>
  <c r="AA19" i="2"/>
  <c r="E6" i="3"/>
  <c r="E7" i="3"/>
  <c r="E8" i="3"/>
  <c r="E9" i="3"/>
  <c r="E10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A6" i="3"/>
  <c r="A7" i="3"/>
  <c r="H7" i="3"/>
  <c r="A8" i="3"/>
  <c r="A9" i="3"/>
  <c r="A10" i="3"/>
  <c r="A4" i="2"/>
  <c r="B4" i="2"/>
  <c r="C4" i="2"/>
  <c r="D4" i="2"/>
  <c r="E4" i="2"/>
  <c r="B5" i="3" s="1"/>
  <c r="F4" i="2"/>
  <c r="G4" i="2"/>
  <c r="H4" i="2"/>
  <c r="I4" i="2"/>
  <c r="J4" i="2" s="1"/>
  <c r="N4" i="2"/>
  <c r="O4" i="2"/>
  <c r="AA4" i="2"/>
  <c r="V15" i="2" l="1"/>
  <c r="V10" i="2"/>
  <c r="D5" i="3"/>
  <c r="C5" i="3"/>
  <c r="V17" i="2"/>
  <c r="V13" i="2"/>
  <c r="V8" i="2"/>
  <c r="V18" i="2"/>
  <c r="V14" i="2"/>
  <c r="V9" i="2"/>
  <c r="V19" i="2"/>
  <c r="V6" i="2"/>
  <c r="V16" i="2"/>
  <c r="V12" i="2"/>
  <c r="V7" i="2"/>
  <c r="V5" i="2"/>
  <c r="H8" i="3"/>
  <c r="F10" i="3"/>
  <c r="G10" i="3" s="1"/>
  <c r="F8" i="3"/>
  <c r="G8" i="3" s="1"/>
  <c r="F6" i="3"/>
  <c r="F9" i="3"/>
  <c r="G9" i="3" s="1"/>
  <c r="G6" i="3"/>
  <c r="I6" i="3" s="1"/>
  <c r="H9" i="3"/>
  <c r="H10" i="3"/>
  <c r="H6" i="3"/>
  <c r="R4" i="2"/>
  <c r="K4" i="2"/>
  <c r="E5" i="3" s="1"/>
  <c r="D4" i="1"/>
  <c r="I8" i="3" l="1"/>
  <c r="I10" i="3"/>
  <c r="F7" i="3"/>
  <c r="G7" i="3" s="1"/>
  <c r="I7" i="3" s="1"/>
  <c r="I9" i="3"/>
  <c r="K7" i="5"/>
  <c r="K8" i="5"/>
  <c r="K9" i="5"/>
  <c r="K10" i="5"/>
  <c r="K11" i="5"/>
  <c r="K12" i="5"/>
  <c r="A4" i="1"/>
  <c r="B4" i="1"/>
  <c r="C4" i="1"/>
  <c r="A5" i="3" s="1"/>
  <c r="E4" i="1"/>
  <c r="H4" i="1"/>
  <c r="I4" i="1" s="1"/>
  <c r="P4" i="1"/>
  <c r="Q4" i="1" s="1"/>
  <c r="V4" i="1"/>
  <c r="AB4" i="1"/>
  <c r="AC4" i="1" l="1"/>
  <c r="H5" i="3" s="1"/>
  <c r="AB3" i="1"/>
  <c r="AA3" i="1"/>
  <c r="L34" i="7" l="1"/>
  <c r="G34" i="7"/>
  <c r="B34" i="7"/>
  <c r="C3" i="2" l="1"/>
  <c r="Y43" i="7" l="1"/>
  <c r="Y44" i="7"/>
  <c r="Y45" i="7"/>
  <c r="Y46" i="7"/>
  <c r="Y42" i="7"/>
  <c r="X43" i="7"/>
  <c r="X44" i="7"/>
  <c r="X45" i="7"/>
  <c r="X46" i="7"/>
  <c r="X42" i="7"/>
  <c r="O3" i="2" l="1"/>
  <c r="F37" i="7" l="1"/>
  <c r="G37" i="7" s="1"/>
  <c r="F38" i="7"/>
  <c r="G38" i="7" s="1"/>
  <c r="F39" i="7"/>
  <c r="F36" i="7"/>
  <c r="G36" i="7" s="1"/>
  <c r="T13" i="7" l="1"/>
  <c r="W20" i="2" l="1"/>
  <c r="X20" i="2"/>
  <c r="Y20" i="2"/>
  <c r="Z20" i="2"/>
  <c r="AA20" i="2"/>
  <c r="W21" i="2"/>
  <c r="X21" i="2"/>
  <c r="Y21" i="2"/>
  <c r="Z21" i="2"/>
  <c r="AA21" i="2"/>
  <c r="W22" i="2"/>
  <c r="X22" i="2"/>
  <c r="Y22" i="2"/>
  <c r="Z22" i="2"/>
  <c r="AA22" i="2"/>
  <c r="W23" i="2"/>
  <c r="X23" i="2"/>
  <c r="Y23" i="2"/>
  <c r="Z23" i="2"/>
  <c r="AA23" i="2"/>
  <c r="W24" i="2"/>
  <c r="X24" i="2"/>
  <c r="Y24" i="2"/>
  <c r="Z24" i="2"/>
  <c r="AA24" i="2"/>
  <c r="W25" i="2"/>
  <c r="X25" i="2"/>
  <c r="Y25" i="2"/>
  <c r="Z25" i="2"/>
  <c r="AA25" i="2"/>
  <c r="W26" i="2"/>
  <c r="X26" i="2"/>
  <c r="Y26" i="2"/>
  <c r="Z26" i="2"/>
  <c r="AA26" i="2"/>
  <c r="W27" i="2"/>
  <c r="X27" i="2"/>
  <c r="Y27" i="2"/>
  <c r="Z27" i="2"/>
  <c r="AA27" i="2"/>
  <c r="W28" i="2"/>
  <c r="X28" i="2"/>
  <c r="Y28" i="2"/>
  <c r="Z28" i="2"/>
  <c r="AA28" i="2"/>
  <c r="W29" i="2"/>
  <c r="X29" i="2"/>
  <c r="Y29" i="2"/>
  <c r="Z29" i="2"/>
  <c r="AA29" i="2"/>
  <c r="A11" i="3"/>
  <c r="I2" i="3"/>
  <c r="H2" i="3"/>
  <c r="G2" i="3"/>
  <c r="F2" i="3"/>
  <c r="E2" i="3"/>
  <c r="D2" i="3"/>
  <c r="C2" i="3"/>
  <c r="B2" i="3"/>
  <c r="A2" i="3"/>
  <c r="A1" i="3"/>
  <c r="Z30" i="2" l="1"/>
  <c r="Z31" i="2"/>
  <c r="Z32" i="2"/>
  <c r="Z33" i="2"/>
  <c r="Z34" i="2"/>
  <c r="V20" i="2"/>
  <c r="V21" i="2"/>
  <c r="V22" i="2"/>
  <c r="V24" i="2"/>
  <c r="V25" i="2"/>
  <c r="V26" i="2"/>
  <c r="V28" i="2"/>
  <c r="V29" i="2"/>
  <c r="W30" i="2"/>
  <c r="X30" i="2"/>
  <c r="Y30" i="2"/>
  <c r="AA30" i="2"/>
  <c r="W31" i="2"/>
  <c r="X31" i="2"/>
  <c r="Y31" i="2"/>
  <c r="AA31" i="2"/>
  <c r="W32" i="2"/>
  <c r="X32" i="2"/>
  <c r="Y32" i="2"/>
  <c r="AA32" i="2"/>
  <c r="W33" i="2"/>
  <c r="X33" i="2"/>
  <c r="Y33" i="2"/>
  <c r="AA33" i="2"/>
  <c r="W34" i="2"/>
  <c r="X34" i="2"/>
  <c r="Y34" i="2"/>
  <c r="AA34" i="2"/>
  <c r="V34" i="2" l="1"/>
  <c r="V33" i="2"/>
  <c r="V32" i="2"/>
  <c r="V30" i="2"/>
  <c r="V31" i="2"/>
  <c r="V27" i="2"/>
  <c r="V23" i="2"/>
  <c r="N3" i="2"/>
  <c r="Q4" i="5"/>
  <c r="R4" i="5" s="1"/>
  <c r="D3" i="2"/>
  <c r="D3" i="1" s="1"/>
  <c r="F3" i="2" l="1"/>
  <c r="B20" i="5"/>
  <c r="L4" i="2" s="1"/>
  <c r="B27" i="5"/>
  <c r="V3" i="1"/>
  <c r="T12" i="7"/>
  <c r="S11" i="7"/>
  <c r="T11" i="7" s="1"/>
  <c r="T10" i="7"/>
  <c r="S9" i="7"/>
  <c r="T9" i="7" s="1"/>
  <c r="S8" i="7"/>
  <c r="T8" i="7" s="1"/>
  <c r="T7" i="7"/>
  <c r="R6" i="7"/>
  <c r="S13" i="7" l="1"/>
  <c r="L3" i="2"/>
  <c r="Y1" i="2"/>
  <c r="X1" i="2"/>
  <c r="AA1" i="2"/>
  <c r="W1" i="2"/>
  <c r="Z1" i="2"/>
  <c r="U14" i="7"/>
  <c r="U15" i="7" s="1"/>
  <c r="P3" i="1" s="1"/>
  <c r="Q3" i="1" s="1"/>
  <c r="S62" i="5"/>
  <c r="H13" i="7"/>
  <c r="H12" i="7"/>
  <c r="H11" i="7"/>
  <c r="H10" i="7"/>
  <c r="H9" i="7"/>
  <c r="H8" i="7"/>
  <c r="H7" i="7"/>
  <c r="H6" i="7"/>
  <c r="H5" i="7"/>
  <c r="M6" i="7"/>
  <c r="M7" i="7"/>
  <c r="M8" i="7"/>
  <c r="M9" i="7"/>
  <c r="M10" i="7"/>
  <c r="M11" i="7"/>
  <c r="M12" i="7"/>
  <c r="M5" i="7"/>
  <c r="V2" i="2"/>
  <c r="B37" i="7"/>
  <c r="B38" i="7"/>
  <c r="B39" i="7"/>
  <c r="B40" i="7"/>
  <c r="A36" i="7"/>
  <c r="B36" i="7"/>
  <c r="K22" i="7"/>
  <c r="F23" i="7"/>
  <c r="B23" i="7"/>
  <c r="G3" i="2"/>
  <c r="Y2" i="2" l="1"/>
  <c r="S63" i="5"/>
  <c r="S71" i="5"/>
  <c r="S67" i="5"/>
  <c r="S69" i="5"/>
  <c r="S65" i="5"/>
  <c r="S70" i="5"/>
  <c r="S66" i="5"/>
  <c r="S68" i="5"/>
  <c r="S64" i="5"/>
  <c r="X2" i="2"/>
  <c r="W2" i="2"/>
  <c r="W4" i="2" s="1"/>
  <c r="AA2" i="2"/>
  <c r="Z2" i="2"/>
  <c r="K20" i="5"/>
  <c r="K24" i="7"/>
  <c r="K23" i="7"/>
  <c r="F24" i="7"/>
  <c r="F22" i="7"/>
  <c r="B24" i="7"/>
  <c r="B22" i="7"/>
  <c r="A3" i="2"/>
  <c r="I3" i="2"/>
  <c r="R3" i="2" s="1"/>
  <c r="H3" i="2"/>
  <c r="E3" i="2"/>
  <c r="B4" i="3" s="1"/>
  <c r="B3" i="2"/>
  <c r="B3" i="1" s="1"/>
  <c r="H3" i="1"/>
  <c r="X4" i="2" l="1"/>
  <c r="Z4" i="2"/>
  <c r="Y4" i="2"/>
  <c r="A3" i="1"/>
  <c r="J3" i="2"/>
  <c r="Z3" i="2" s="1"/>
  <c r="C3" i="1"/>
  <c r="A4" i="3" s="1"/>
  <c r="B25" i="7"/>
  <c r="D4" i="3"/>
  <c r="K25" i="7"/>
  <c r="F25" i="7"/>
  <c r="K3" i="2"/>
  <c r="E4" i="3" s="1"/>
  <c r="E3" i="1"/>
  <c r="I3" i="1"/>
  <c r="AC3" i="1" s="1"/>
  <c r="C4" i="3"/>
  <c r="V4" i="2" l="1"/>
  <c r="M4" i="2" s="1"/>
  <c r="S4" i="2" s="1"/>
  <c r="AA3" i="2"/>
  <c r="X3" i="2"/>
  <c r="Y3" i="2"/>
  <c r="W3" i="2"/>
  <c r="H4" i="3"/>
  <c r="T4" i="2" l="1"/>
  <c r="F5" i="3"/>
  <c r="G5" i="3" s="1"/>
  <c r="I5" i="3" s="1"/>
  <c r="V3" i="2"/>
  <c r="M3" i="2" s="1"/>
  <c r="S3" i="2" l="1"/>
  <c r="F4" i="3" l="1"/>
  <c r="G4" i="3" s="1"/>
  <c r="I4" i="3" s="1"/>
  <c r="T4" i="5" s="1"/>
  <c r="T3" i="2"/>
</calcChain>
</file>

<file path=xl/sharedStrings.xml><?xml version="1.0" encoding="utf-8"?>
<sst xmlns="http://schemas.openxmlformats.org/spreadsheetml/2006/main" count="220" uniqueCount="147">
  <si>
    <t>mileage, KM p.a.</t>
  </si>
  <si>
    <t>duration in months</t>
  </si>
  <si>
    <t>MF</t>
  </si>
  <si>
    <t>claims management in EUR</t>
  </si>
  <si>
    <t>Vignette in EUR</t>
  </si>
  <si>
    <t>Full service rate in EUR</t>
  </si>
  <si>
    <t>Leasing object</t>
  </si>
  <si>
    <t>Road tax EUR netto yearly</t>
  </si>
  <si>
    <t>Kasko in EUR netto yearly</t>
  </si>
  <si>
    <t>TPL in EUR netto yearly</t>
  </si>
  <si>
    <t>Car registration EUR netto for whole duration</t>
  </si>
  <si>
    <t>Car marking EUR netto yearly</t>
  </si>
  <si>
    <t>MGF EUR netto for whole duration</t>
  </si>
  <si>
    <t>MGF as % from Car price</t>
  </si>
  <si>
    <t>PL Risk insurance BGN Brutto whole duration</t>
  </si>
  <si>
    <t>Amount of summer tyre sets</t>
  </si>
  <si>
    <t>Amount of winter tyre sets</t>
  </si>
  <si>
    <t>Summer tyre set price BGN Brutto</t>
  </si>
  <si>
    <t>Winter tyre set price BGN Brutto</t>
  </si>
  <si>
    <t>Monthly tyres rate EUR netto</t>
  </si>
  <si>
    <t>days per year</t>
  </si>
  <si>
    <t>Price per day EUR Brutto</t>
  </si>
  <si>
    <t>Monthly replacement car fee EUR netto</t>
  </si>
  <si>
    <t>Maintenance</t>
  </si>
  <si>
    <t>Tyres</t>
  </si>
  <si>
    <t>Replacement vehicle</t>
  </si>
  <si>
    <t>Final MGF EUR netto per month</t>
  </si>
  <si>
    <t>Monthly management fee</t>
  </si>
  <si>
    <t>Monthly leasing rate</t>
  </si>
  <si>
    <t>Interest Rate</t>
  </si>
  <si>
    <t>IR fix / variable</t>
  </si>
  <si>
    <t>Engine type</t>
  </si>
  <si>
    <t>Horse power</t>
  </si>
  <si>
    <t>Purchase price EUR netto</t>
  </si>
  <si>
    <t>Purchase price EUR brutto</t>
  </si>
  <si>
    <t>kW</t>
  </si>
  <si>
    <t>7 (5+6)</t>
  </si>
  <si>
    <t>9 (7+8)</t>
  </si>
  <si>
    <t>Insurance company</t>
  </si>
  <si>
    <t>Product</t>
  </si>
  <si>
    <t>List price BGN Brutto</t>
  </si>
  <si>
    <t>Discount</t>
  </si>
  <si>
    <t>RV AT</t>
  </si>
  <si>
    <t>Final decision RV</t>
  </si>
  <si>
    <t>Estimation SSL RV</t>
  </si>
  <si>
    <t>Estimation BDY RV</t>
  </si>
  <si>
    <t>Vehicle price</t>
  </si>
  <si>
    <t>Name of the client</t>
  </si>
  <si>
    <t>Insurance conditions / company</t>
  </si>
  <si>
    <t>For Competitors</t>
  </si>
  <si>
    <t>Others</t>
  </si>
  <si>
    <t>mileage KM p.a.</t>
  </si>
  <si>
    <t>Dealership</t>
  </si>
  <si>
    <t>Date</t>
  </si>
  <si>
    <t>Responsible person</t>
  </si>
  <si>
    <t>Residual value</t>
  </si>
  <si>
    <t>Uniqa</t>
  </si>
  <si>
    <t>CLIENT</t>
  </si>
  <si>
    <t>Bulstrad</t>
  </si>
  <si>
    <t>Allianz</t>
  </si>
  <si>
    <t>Casco</t>
  </si>
  <si>
    <t>Passanger</t>
  </si>
  <si>
    <t>up to 1300</t>
  </si>
  <si>
    <t>from 1300 to 1500</t>
  </si>
  <si>
    <t>up to 1100</t>
  </si>
  <si>
    <t>from 1500 to 1600</t>
  </si>
  <si>
    <t>from 1100 to 1300</t>
  </si>
  <si>
    <t>from 1600 to 1800</t>
  </si>
  <si>
    <t>from 1800 to 2000</t>
  </si>
  <si>
    <t>from 2000 to 2500</t>
  </si>
  <si>
    <t>over 2500</t>
  </si>
  <si>
    <t>Cargo from 2,8 to 3,5 t.</t>
  </si>
  <si>
    <t>Cargo up to 1,5 t</t>
  </si>
  <si>
    <t>Cargo from 1,5 to 3,5 t.</t>
  </si>
  <si>
    <t>from 1300 to 1600</t>
  </si>
  <si>
    <t>Cargo  to 1,5 t</t>
  </si>
  <si>
    <t>TPL</t>
  </si>
  <si>
    <t>Cargo up to 1,5 T</t>
  </si>
  <si>
    <t>Type:</t>
  </si>
  <si>
    <t>Engine volume:</t>
  </si>
  <si>
    <t>with depreciation</t>
  </si>
  <si>
    <t>without depreciation</t>
  </si>
  <si>
    <t>Audi</t>
  </si>
  <si>
    <t>Discount:</t>
  </si>
  <si>
    <t>Commision:</t>
  </si>
  <si>
    <t>Tariff value:</t>
  </si>
  <si>
    <t>Cargo  to 1,5 t ""Cargo from 1,5 to 3,5 t.</t>
  </si>
  <si>
    <t>N1/ M1</t>
  </si>
  <si>
    <t>Лева с ДДС</t>
  </si>
  <si>
    <t>Сезонна смяна и съхранение</t>
  </si>
  <si>
    <t>Размер</t>
  </si>
  <si>
    <t>%</t>
  </si>
  <si>
    <t>Средна цена</t>
  </si>
  <si>
    <t>Хотел</t>
  </si>
  <si>
    <t>лева с ДДС</t>
  </si>
  <si>
    <t>Обща цена:</t>
  </si>
  <si>
    <t>За година:</t>
  </si>
  <si>
    <t>Евро без ДДС на месец</t>
  </si>
  <si>
    <t>Seasonal change and storage</t>
  </si>
  <si>
    <t>Business mobility MF (EUR per month)</t>
  </si>
  <si>
    <t>GPS се поставя ръчно!!!</t>
  </si>
  <si>
    <t>Monthly rates, Total</t>
  </si>
  <si>
    <t>Special TARIFF VALUE</t>
  </si>
  <si>
    <r>
      <t>Final decision RV to</t>
    </r>
    <r>
      <rPr>
        <b/>
        <sz val="11"/>
        <color rgb="FFFF0000"/>
        <rFont val="Calibri"/>
        <family val="2"/>
        <charset val="204"/>
        <scheme val="minor"/>
      </rPr>
      <t xml:space="preserve"> LIST PRICE</t>
    </r>
  </si>
  <si>
    <t>AT +</t>
  </si>
  <si>
    <t>NO</t>
  </si>
  <si>
    <t>Language</t>
  </si>
  <si>
    <t>variable</t>
  </si>
  <si>
    <t>With depreciation</t>
  </si>
  <si>
    <t>Месеци</t>
  </si>
  <si>
    <t>С отстъпен комисион:</t>
  </si>
  <si>
    <t>Стандартно ТЧ</t>
  </si>
  <si>
    <t>След завишение от 5%</t>
  </si>
  <si>
    <t xml:space="preserve">Maintenance BGN Brutto whole duration </t>
  </si>
  <si>
    <t>Monthly maintenance EUR netto</t>
  </si>
  <si>
    <t>Tyre size</t>
  </si>
  <si>
    <t>Additional services</t>
  </si>
  <si>
    <t>Vehicle &amp; Conditions information</t>
  </si>
  <si>
    <t>Vehicle data</t>
  </si>
  <si>
    <t>Insurance data</t>
  </si>
  <si>
    <t>Contract data</t>
  </si>
  <si>
    <t>Special conditions № [IMIS]</t>
  </si>
  <si>
    <t xml:space="preserve">Interest rate </t>
  </si>
  <si>
    <t>Management Fee in %</t>
  </si>
  <si>
    <t>International client (Y/N)</t>
  </si>
  <si>
    <t>Fleet potential (how many cars in the fleet)</t>
  </si>
  <si>
    <t>Actual offer for how many cars</t>
  </si>
  <si>
    <t>Purchase Price BGN Brutto</t>
  </si>
  <si>
    <t>Residual value in % of purchase price</t>
  </si>
  <si>
    <t>Duration in months</t>
  </si>
  <si>
    <t>Mileage, KM p.a.</t>
  </si>
  <si>
    <t>GTP in EUR</t>
  </si>
  <si>
    <t>Financial monthly rate in EUR netto</t>
  </si>
  <si>
    <t>Approved Casco discount:</t>
  </si>
  <si>
    <r>
      <t xml:space="preserve">Maintenance package
</t>
    </r>
    <r>
      <rPr>
        <b/>
        <sz val="8"/>
        <color theme="4"/>
        <rFont val="Arial"/>
        <family val="2"/>
        <charset val="204"/>
      </rPr>
      <t>NEW</t>
    </r>
  </si>
  <si>
    <r>
      <t xml:space="preserve">Tire manufacturer
</t>
    </r>
    <r>
      <rPr>
        <b/>
        <sz val="8"/>
        <color theme="4"/>
        <rFont val="Arial"/>
        <family val="2"/>
        <charset val="204"/>
      </rPr>
      <t>NEW</t>
    </r>
  </si>
  <si>
    <r>
      <t xml:space="preserve">Class
</t>
    </r>
    <r>
      <rPr>
        <b/>
        <sz val="8"/>
        <color theme="4"/>
        <rFont val="Arial"/>
        <family val="2"/>
        <charset val="204"/>
      </rPr>
      <t>NEW</t>
    </r>
  </si>
  <si>
    <t>C (eg. Golf)</t>
  </si>
  <si>
    <t>BG</t>
  </si>
  <si>
    <r>
      <t xml:space="preserve">Road assist. in EUR
</t>
    </r>
    <r>
      <rPr>
        <b/>
        <sz val="8"/>
        <color rgb="FF0070C0"/>
        <rFont val="Arial"/>
        <family val="2"/>
        <charset val="204"/>
      </rPr>
      <t>PACKAGE / Discount</t>
    </r>
    <r>
      <rPr>
        <b/>
        <sz val="8"/>
        <color theme="5"/>
        <rFont val="Arial"/>
        <family val="2"/>
        <charset val="204"/>
      </rPr>
      <t xml:space="preserve"> (MAX - 12%)</t>
    </r>
  </si>
  <si>
    <t>M1</t>
  </si>
  <si>
    <t>FOL</t>
  </si>
  <si>
    <t>Caravelle Trendline L TDI</t>
  </si>
  <si>
    <t>TDI</t>
  </si>
  <si>
    <t>Arteon PA R-Line 2.0 TSI OPF 4MOTION DSG</t>
  </si>
  <si>
    <t>TSI</t>
  </si>
  <si>
    <t>Golf Variant 8 Life 2.0 TDI 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</si>
</sst>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_-* #,##0.00\ [$€-1]_-;\-* #,##0.00\ [$€-1]_-;_-* &quot;-&quot;??\ [$€-1]_-"/>
    <numFmt numFmtId="167" formatCode="#,###&quot;ps&quot;"/>
    <numFmt numFmtId="168" formatCode="0.0000%"/>
    <numFmt numFmtId="169" formatCode="#,##0.00\ &quot;лв.&quot;"/>
    <numFmt numFmtId="170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466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theme="0" tint="-0.499984740745262"/>
      <name val="Arial"/>
      <family val="2"/>
      <charset val="204"/>
    </font>
    <font>
      <sz val="8"/>
      <color theme="0" tint="-0.499984740745262"/>
      <name val="Arial"/>
      <family val="2"/>
    </font>
    <font>
      <b/>
      <sz val="15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4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8"/>
      <color theme="5"/>
      <name val="Arial"/>
      <family val="2"/>
      <charset val="204"/>
    </font>
    <font>
      <b/>
      <sz val="9.5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466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166" fontId="5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69">
    <xf numFmtId="0" fontId="0" fillId="0" borderId="0" xfId="0"/>
    <xf numFmtId="0" fontId="7" fillId="2" borderId="3" xfId="10" applyFont="1" applyFill="1" applyBorder="1" applyAlignment="1">
      <alignment horizontal="center" vertical="top" wrapText="1"/>
    </xf>
    <xf numFmtId="49" fontId="9" fillId="2" borderId="3" xfId="14" applyNumberFormat="1" applyFont="1" applyFill="1" applyBorder="1" applyAlignment="1">
      <alignment horizontal="left"/>
    </xf>
    <xf numFmtId="0" fontId="7" fillId="2" borderId="3" xfId="10" applyFont="1" applyFill="1" applyBorder="1" applyAlignment="1">
      <alignment horizontal="center" vertical="top" wrapText="1"/>
    </xf>
    <xf numFmtId="0" fontId="7" fillId="2" borderId="3" xfId="10" applyFont="1" applyFill="1" applyBorder="1" applyAlignment="1">
      <alignment vertical="top" wrapText="1"/>
    </xf>
    <xf numFmtId="0" fontId="7" fillId="8" borderId="3" xfId="10" applyFont="1" applyFill="1" applyBorder="1" applyAlignment="1">
      <alignment horizontal="center" vertical="top" wrapText="1"/>
    </xf>
    <xf numFmtId="0" fontId="7" fillId="9" borderId="3" xfId="10" applyFont="1" applyFill="1" applyBorder="1" applyAlignment="1">
      <alignment horizontal="center" vertical="top" wrapText="1"/>
    </xf>
    <xf numFmtId="2" fontId="6" fillId="4" borderId="3" xfId="10" applyNumberFormat="1" applyFont="1" applyFill="1" applyBorder="1"/>
    <xf numFmtId="3" fontId="0" fillId="0" borderId="0" xfId="0" applyNumberFormat="1"/>
    <xf numFmtId="3" fontId="6" fillId="8" borderId="3" xfId="9" quotePrefix="1" applyNumberFormat="1" applyFont="1" applyFill="1" applyBorder="1" applyAlignment="1">
      <alignment horizontal="center"/>
    </xf>
    <xf numFmtId="0" fontId="7" fillId="6" borderId="3" xfId="10" applyFont="1" applyFill="1" applyBorder="1" applyAlignment="1">
      <alignment horizontal="center" vertical="top" wrapText="1"/>
    </xf>
    <xf numFmtId="0" fontId="7" fillId="7" borderId="3" xfId="10" applyFont="1" applyFill="1" applyBorder="1" applyAlignment="1">
      <alignment horizontal="center" vertical="top" wrapText="1"/>
    </xf>
    <xf numFmtId="0" fontId="7" fillId="11" borderId="3" xfId="10" applyFont="1" applyFill="1" applyBorder="1" applyAlignment="1">
      <alignment horizontal="center" vertical="top" wrapText="1"/>
    </xf>
    <xf numFmtId="0" fontId="7" fillId="10" borderId="3" xfId="10" applyFont="1" applyFill="1" applyBorder="1" applyAlignment="1">
      <alignment horizontal="center" vertical="top" wrapText="1"/>
    </xf>
    <xf numFmtId="4" fontId="6" fillId="11" borderId="3" xfId="10" applyNumberFormat="1" applyFont="1" applyFill="1" applyBorder="1" applyAlignment="1">
      <alignment horizontal="center" vertical="center"/>
    </xf>
    <xf numFmtId="4" fontId="6" fillId="10" borderId="3" xfId="10" applyNumberFormat="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 vertical="center"/>
    </xf>
    <xf numFmtId="3" fontId="6" fillId="2" borderId="3" xfId="9" quotePrefix="1" applyNumberFormat="1" applyFont="1" applyFill="1" applyBorder="1" applyAlignment="1">
      <alignment horizontal="center"/>
    </xf>
    <xf numFmtId="4" fontId="6" fillId="2" borderId="3" xfId="10" applyNumberFormat="1" applyFont="1" applyFill="1" applyBorder="1" applyAlignment="1">
      <alignment horizontal="center" vertical="center"/>
    </xf>
    <xf numFmtId="2" fontId="6" fillId="2" borderId="3" xfId="10" applyNumberFormat="1" applyFont="1" applyFill="1" applyBorder="1"/>
    <xf numFmtId="0" fontId="7" fillId="4" borderId="3" xfId="10" applyFont="1" applyFill="1" applyBorder="1" applyAlignment="1">
      <alignment horizontal="center" vertical="top" wrapText="1"/>
    </xf>
    <xf numFmtId="3" fontId="6" fillId="10" borderId="3" xfId="10" applyNumberFormat="1" applyFont="1" applyFill="1" applyBorder="1" applyAlignment="1">
      <alignment horizontal="center" vertical="center"/>
    </xf>
    <xf numFmtId="2" fontId="6" fillId="9" borderId="3" xfId="9" quotePrefix="1" applyNumberFormat="1" applyFont="1" applyFill="1" applyBorder="1" applyAlignment="1">
      <alignment horizontal="center"/>
    </xf>
    <xf numFmtId="2" fontId="6" fillId="7" borderId="3" xfId="9" quotePrefix="1" applyNumberFormat="1" applyFont="1" applyFill="1" applyBorder="1" applyAlignment="1">
      <alignment horizontal="center"/>
    </xf>
    <xf numFmtId="2" fontId="6" fillId="6" borderId="3" xfId="9" quotePrefix="1" applyNumberFormat="1" applyFont="1" applyFill="1" applyBorder="1" applyAlignment="1">
      <alignment horizontal="center"/>
    </xf>
    <xf numFmtId="167" fontId="6" fillId="2" borderId="3" xfId="11" applyNumberFormat="1" applyFont="1" applyFill="1" applyBorder="1" applyAlignment="1">
      <alignment horizontal="center" vertical="center"/>
    </xf>
    <xf numFmtId="0" fontId="13" fillId="2" borderId="3" xfId="14" applyFont="1" applyFill="1" applyBorder="1" applyAlignment="1">
      <alignment horizontal="left" vertical="top" wrapText="1"/>
    </xf>
    <xf numFmtId="0" fontId="1" fillId="5" borderId="3" xfId="0" applyNumberFormat="1" applyFont="1" applyFill="1" applyBorder="1" applyAlignment="1">
      <alignment horizontal="left"/>
    </xf>
    <xf numFmtId="0" fontId="12" fillId="3" borderId="5" xfId="14" applyFont="1" applyFill="1" applyBorder="1" applyAlignment="1">
      <alignment horizontal="left"/>
    </xf>
    <xf numFmtId="0" fontId="0" fillId="10" borderId="0" xfId="0" applyFill="1"/>
    <xf numFmtId="0" fontId="16" fillId="9" borderId="0" xfId="0" applyFont="1" applyFill="1"/>
    <xf numFmtId="0" fontId="0" fillId="13" borderId="0" xfId="0" applyFill="1"/>
    <xf numFmtId="0" fontId="0" fillId="2" borderId="0" xfId="0" applyFill="1"/>
    <xf numFmtId="0" fontId="15" fillId="2" borderId="3" xfId="0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/>
    </xf>
    <xf numFmtId="0" fontId="14" fillId="2" borderId="3" xfId="0" applyFont="1" applyFill="1" applyBorder="1" applyAlignment="1">
      <alignment horizontal="left" vertical="center" wrapText="1"/>
    </xf>
    <xf numFmtId="0" fontId="14" fillId="0" borderId="0" xfId="0" applyFont="1"/>
    <xf numFmtId="0" fontId="16" fillId="2" borderId="8" xfId="11" applyFont="1" applyFill="1" applyBorder="1" applyAlignment="1">
      <alignment horizontal="center" vertical="center"/>
    </xf>
    <xf numFmtId="1" fontId="16" fillId="2" borderId="8" xfId="11" applyNumberFormat="1" applyFont="1" applyFill="1" applyBorder="1" applyAlignment="1">
      <alignment horizontal="center" vertical="center"/>
    </xf>
    <xf numFmtId="1" fontId="16" fillId="13" borderId="8" xfId="11" applyNumberFormat="1" applyFont="1" applyFill="1" applyBorder="1" applyAlignment="1">
      <alignment horizontal="center" vertical="center"/>
    </xf>
    <xf numFmtId="0" fontId="16" fillId="13" borderId="8" xfId="11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vertical="top" wrapText="1"/>
    </xf>
    <xf numFmtId="0" fontId="17" fillId="13" borderId="3" xfId="10" applyFont="1" applyFill="1" applyBorder="1" applyAlignment="1">
      <alignment horizontal="center" vertical="top" wrapText="1"/>
    </xf>
    <xf numFmtId="0" fontId="17" fillId="10" borderId="3" xfId="10" applyFont="1" applyFill="1" applyBorder="1" applyAlignment="1">
      <alignment vertical="top" wrapText="1"/>
    </xf>
    <xf numFmtId="0" fontId="17" fillId="9" borderId="3" xfId="10" applyFont="1" applyFill="1" applyBorder="1" applyAlignment="1">
      <alignment vertical="top" wrapText="1"/>
    </xf>
    <xf numFmtId="169" fontId="16" fillId="10" borderId="8" xfId="11" applyNumberFormat="1" applyFont="1" applyFill="1" applyBorder="1" applyAlignment="1">
      <alignment horizontal="center" vertical="center"/>
    </xf>
    <xf numFmtId="9" fontId="16" fillId="10" borderId="8" xfId="11" applyNumberFormat="1" applyFont="1" applyFill="1" applyBorder="1" applyAlignment="1">
      <alignment horizontal="center" vertical="center"/>
    </xf>
    <xf numFmtId="169" fontId="16" fillId="10" borderId="3" xfId="11" applyNumberFormat="1" applyFont="1" applyFill="1" applyBorder="1" applyAlignment="1">
      <alignment horizontal="center" vertical="center"/>
    </xf>
    <xf numFmtId="0" fontId="19" fillId="0" borderId="0" xfId="0" applyFont="1"/>
    <xf numFmtId="0" fontId="0" fillId="3" borderId="0" xfId="0" applyFill="1"/>
    <xf numFmtId="0" fontId="16" fillId="3" borderId="0" xfId="0" applyFont="1" applyFill="1"/>
    <xf numFmtId="9" fontId="16" fillId="9" borderId="8" xfId="11" applyNumberFormat="1" applyFont="1" applyFill="1" applyBorder="1" applyAlignment="1">
      <alignment horizontal="center" vertical="center"/>
    </xf>
    <xf numFmtId="9" fontId="16" fillId="9" borderId="3" xfId="11" applyNumberFormat="1" applyFont="1" applyFill="1" applyBorder="1" applyAlignment="1">
      <alignment horizontal="center" vertical="center"/>
    </xf>
    <xf numFmtId="0" fontId="7" fillId="2" borderId="3" xfId="1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7" fillId="9" borderId="3" xfId="10" applyFont="1" applyFill="1" applyBorder="1" applyAlignment="1" applyProtection="1">
      <alignment vertical="top" wrapText="1"/>
      <protection locked="0"/>
    </xf>
    <xf numFmtId="0" fontId="7" fillId="9" borderId="3" xfId="10" applyFont="1" applyFill="1" applyBorder="1" applyAlignment="1" applyProtection="1">
      <alignment horizontal="center" vertical="top" wrapText="1"/>
      <protection locked="0"/>
    </xf>
    <xf numFmtId="0" fontId="7" fillId="8" borderId="3" xfId="10" applyFont="1" applyFill="1" applyBorder="1" applyAlignment="1" applyProtection="1">
      <alignment horizontal="center" vertical="top" wrapText="1"/>
      <protection locked="0"/>
    </xf>
    <xf numFmtId="0" fontId="7" fillId="7" borderId="3" xfId="10" applyFont="1" applyFill="1" applyBorder="1" applyAlignment="1" applyProtection="1">
      <alignment horizontal="center" vertical="top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0" fontId="6" fillId="9" borderId="8" xfId="11" applyFont="1" applyFill="1" applyBorder="1" applyAlignment="1" applyProtection="1">
      <alignment horizontal="center" vertical="center"/>
      <protection locked="0"/>
    </xf>
    <xf numFmtId="1" fontId="6" fillId="9" borderId="8" xfId="11" applyNumberFormat="1" applyFont="1" applyFill="1" applyBorder="1" applyAlignment="1" applyProtection="1">
      <alignment horizontal="center" vertical="center"/>
      <protection locked="0"/>
    </xf>
    <xf numFmtId="10" fontId="6" fillId="9" borderId="8" xfId="9" quotePrefix="1" applyNumberFormat="1" applyFont="1" applyFill="1" applyBorder="1" applyAlignment="1" applyProtection="1">
      <alignment horizontal="center"/>
      <protection locked="0"/>
    </xf>
    <xf numFmtId="4" fontId="6" fillId="9" borderId="8" xfId="9" applyNumberFormat="1" applyFont="1" applyFill="1" applyBorder="1" applyAlignment="1" applyProtection="1">
      <alignment horizontal="center"/>
      <protection locked="0"/>
    </xf>
    <xf numFmtId="4" fontId="6" fillId="7" borderId="8" xfId="10" applyNumberFormat="1" applyFont="1" applyFill="1" applyBorder="1" applyAlignment="1" applyProtection="1">
      <alignment horizontal="right"/>
      <protection locked="0"/>
    </xf>
    <xf numFmtId="168" fontId="6" fillId="8" borderId="3" xfId="1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49" fontId="9" fillId="2" borderId="3" xfId="14" applyNumberFormat="1" applyFont="1" applyFill="1" applyBorder="1" applyAlignment="1" applyProtection="1">
      <alignment horizontal="left"/>
      <protection locked="0"/>
    </xf>
    <xf numFmtId="0" fontId="6" fillId="9" borderId="3" xfId="11" applyFont="1" applyFill="1" applyBorder="1" applyAlignment="1" applyProtection="1">
      <alignment horizontal="center" vertical="center"/>
      <protection locked="0"/>
    </xf>
    <xf numFmtId="1" fontId="0" fillId="9" borderId="3" xfId="0" applyNumberFormat="1" applyFill="1" applyBorder="1" applyProtection="1">
      <protection locked="0"/>
    </xf>
    <xf numFmtId="3" fontId="9" fillId="2" borderId="3" xfId="0" applyNumberFormat="1" applyFont="1" applyFill="1" applyBorder="1" applyProtection="1">
      <protection locked="0"/>
    </xf>
    <xf numFmtId="0" fontId="7" fillId="9" borderId="3" xfId="10" applyFont="1" applyFill="1" applyBorder="1" applyAlignment="1" applyProtection="1">
      <alignment vertical="top" wrapText="1"/>
    </xf>
    <xf numFmtId="10" fontId="10" fillId="9" borderId="8" xfId="11" applyNumberFormat="1" applyFont="1" applyFill="1" applyBorder="1" applyAlignment="1" applyProtection="1">
      <alignment horizontal="center" vertical="center"/>
    </xf>
    <xf numFmtId="165" fontId="10" fillId="9" borderId="8" xfId="12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0" fillId="0" borderId="0" xfId="0" applyProtection="1"/>
    <xf numFmtId="0" fontId="7" fillId="9" borderId="3" xfId="10" applyFont="1" applyFill="1" applyBorder="1" applyAlignment="1" applyProtection="1">
      <alignment horizontal="center" vertical="top" wrapText="1"/>
    </xf>
    <xf numFmtId="0" fontId="6" fillId="9" borderId="8" xfId="11" applyFont="1" applyFill="1" applyBorder="1" applyAlignment="1" applyProtection="1">
      <alignment horizontal="center" vertical="center"/>
    </xf>
    <xf numFmtId="0" fontId="6" fillId="9" borderId="3" xfId="11" applyFont="1" applyFill="1" applyBorder="1" applyAlignment="1" applyProtection="1">
      <alignment horizontal="center" vertical="center"/>
    </xf>
    <xf numFmtId="0" fontId="7" fillId="6" borderId="3" xfId="10" applyFont="1" applyFill="1" applyBorder="1" applyAlignment="1" applyProtection="1">
      <alignment horizontal="center" vertical="top" wrapText="1"/>
    </xf>
    <xf numFmtId="4" fontId="6" fillId="6" borderId="8" xfId="10" applyNumberFormat="1" applyFont="1" applyFill="1" applyBorder="1" applyAlignment="1" applyProtection="1">
      <alignment horizontal="right"/>
    </xf>
    <xf numFmtId="0" fontId="7" fillId="8" borderId="0" xfId="1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>
      <alignment horizontal="left" vertical="center" wrapText="1"/>
    </xf>
    <xf numFmtId="0" fontId="4" fillId="0" borderId="0" xfId="14" applyFill="1" applyAlignment="1">
      <alignment wrapText="1"/>
    </xf>
    <xf numFmtId="0" fontId="15" fillId="0" borderId="0" xfId="14" applyFont="1" applyFill="1" applyAlignment="1">
      <alignment wrapText="1"/>
    </xf>
    <xf numFmtId="2" fontId="20" fillId="0" borderId="0" xfId="0" applyNumberFormat="1" applyFont="1"/>
    <xf numFmtId="165" fontId="21" fillId="0" borderId="0" xfId="18" applyFont="1"/>
    <xf numFmtId="2" fontId="16" fillId="0" borderId="0" xfId="0" applyNumberFormat="1" applyFont="1"/>
    <xf numFmtId="2" fontId="21" fillId="0" borderId="0" xfId="0" applyNumberFormat="1" applyFont="1"/>
    <xf numFmtId="2" fontId="21" fillId="0" borderId="0" xfId="0" applyNumberFormat="1" applyFont="1" applyFill="1" applyBorder="1"/>
    <xf numFmtId="0" fontId="4" fillId="2" borderId="0" xfId="14" applyFill="1" applyAlignment="1">
      <alignment wrapText="1"/>
    </xf>
    <xf numFmtId="9" fontId="4" fillId="0" borderId="0" xfId="16" applyFont="1" applyFill="1" applyAlignment="1">
      <alignment wrapText="1"/>
    </xf>
    <xf numFmtId="10" fontId="4" fillId="0" borderId="0" xfId="16" applyNumberFormat="1" applyFont="1" applyFill="1" applyAlignment="1">
      <alignment wrapText="1"/>
    </xf>
    <xf numFmtId="9" fontId="4" fillId="0" borderId="0" xfId="16" applyNumberFormat="1" applyFont="1" applyFill="1" applyAlignment="1">
      <alignment wrapText="1"/>
    </xf>
    <xf numFmtId="9" fontId="4" fillId="0" borderId="0" xfId="14" applyNumberFormat="1" applyFill="1" applyAlignment="1">
      <alignment wrapText="1"/>
    </xf>
    <xf numFmtId="9" fontId="15" fillId="0" borderId="0" xfId="14" applyNumberFormat="1" applyFont="1" applyFill="1" applyAlignment="1">
      <alignment wrapText="1"/>
    </xf>
    <xf numFmtId="168" fontId="6" fillId="8" borderId="0" xfId="10" applyNumberFormat="1" applyFont="1" applyFill="1" applyBorder="1" applyAlignment="1" applyProtection="1">
      <alignment horizontal="right"/>
      <protection locked="0"/>
    </xf>
    <xf numFmtId="10" fontId="6" fillId="8" borderId="0" xfId="10" applyNumberFormat="1" applyFont="1" applyFill="1" applyBorder="1" applyAlignment="1" applyProtection="1">
      <alignment horizontal="right"/>
      <protection locked="0"/>
    </xf>
    <xf numFmtId="0" fontId="22" fillId="10" borderId="11" xfId="0" applyFont="1" applyFill="1" applyBorder="1" applyProtection="1">
      <protection locked="0"/>
    </xf>
    <xf numFmtId="10" fontId="22" fillId="10" borderId="12" xfId="16" applyNumberFormat="1" applyFont="1" applyFill="1" applyBorder="1" applyProtection="1">
      <protection locked="0"/>
    </xf>
    <xf numFmtId="10" fontId="22" fillId="10" borderId="13" xfId="16" applyNumberFormat="1" applyFont="1" applyFill="1" applyBorder="1" applyProtection="1">
      <protection locked="0"/>
    </xf>
    <xf numFmtId="9" fontId="22" fillId="10" borderId="12" xfId="16" applyFont="1" applyFill="1" applyBorder="1" applyProtection="1">
      <protection locked="0"/>
    </xf>
    <xf numFmtId="9" fontId="22" fillId="10" borderId="13" xfId="16" applyFont="1" applyFill="1" applyBorder="1" applyProtection="1">
      <protection locked="0"/>
    </xf>
    <xf numFmtId="165" fontId="9" fillId="10" borderId="11" xfId="19" applyFont="1" applyFill="1" applyBorder="1" applyProtection="1">
      <protection locked="0"/>
    </xf>
    <xf numFmtId="165" fontId="9" fillId="10" borderId="12" xfId="0" applyNumberFormat="1" applyFont="1" applyFill="1" applyBorder="1" applyProtection="1">
      <protection locked="0"/>
    </xf>
    <xf numFmtId="165" fontId="9" fillId="10" borderId="13" xfId="0" applyNumberFormat="1" applyFont="1" applyFill="1" applyBorder="1" applyProtection="1">
      <protection locked="0"/>
    </xf>
    <xf numFmtId="0" fontId="17" fillId="2" borderId="3" xfId="10" applyFont="1" applyFill="1" applyBorder="1" applyAlignment="1">
      <alignment horizontal="center" vertical="top" wrapText="1"/>
    </xf>
    <xf numFmtId="1" fontId="4" fillId="0" borderId="0" xfId="14" applyNumberFormat="1" applyFill="1" applyAlignment="1">
      <alignment wrapText="1"/>
    </xf>
    <xf numFmtId="165" fontId="4" fillId="0" borderId="0" xfId="19" applyFont="1" applyFill="1" applyAlignment="1">
      <alignment wrapText="1"/>
    </xf>
    <xf numFmtId="165" fontId="21" fillId="2" borderId="0" xfId="18" applyFont="1" applyFill="1"/>
    <xf numFmtId="2" fontId="16" fillId="2" borderId="0" xfId="0" applyNumberFormat="1" applyFont="1" applyFill="1"/>
    <xf numFmtId="2" fontId="20" fillId="2" borderId="0" xfId="0" applyNumberFormat="1" applyFont="1" applyFill="1"/>
    <xf numFmtId="2" fontId="21" fillId="2" borderId="0" xfId="0" applyNumberFormat="1" applyFont="1" applyFill="1"/>
    <xf numFmtId="0" fontId="6" fillId="9" borderId="8" xfId="11" applyNumberFormat="1" applyFont="1" applyFill="1" applyBorder="1" applyAlignment="1" applyProtection="1">
      <alignment horizontal="center" vertical="center"/>
      <protection locked="0"/>
    </xf>
    <xf numFmtId="0" fontId="6" fillId="9" borderId="3" xfId="1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9" fontId="0" fillId="0" borderId="0" xfId="16" applyFont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9" fontId="0" fillId="0" borderId="0" xfId="16" applyNumberFormat="1" applyFont="1" applyBorder="1" applyAlignment="1">
      <alignment horizontal="center"/>
    </xf>
    <xf numFmtId="165" fontId="0" fillId="0" borderId="19" xfId="19" applyFont="1" applyBorder="1"/>
    <xf numFmtId="9" fontId="0" fillId="0" borderId="0" xfId="16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9" fontId="0" fillId="0" borderId="21" xfId="0" applyNumberFormat="1" applyBorder="1" applyAlignment="1">
      <alignment horizontal="center"/>
    </xf>
    <xf numFmtId="165" fontId="0" fillId="0" borderId="22" xfId="19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19" applyFont="1"/>
    <xf numFmtId="2" fontId="15" fillId="0" borderId="0" xfId="0" applyNumberFormat="1" applyFont="1"/>
    <xf numFmtId="10" fontId="16" fillId="2" borderId="3" xfId="11" applyNumberFormat="1" applyFont="1" applyFill="1" applyBorder="1" applyAlignment="1" applyProtection="1">
      <alignment vertical="center" wrapText="1"/>
      <protection locked="0"/>
    </xf>
    <xf numFmtId="0" fontId="16" fillId="2" borderId="4" xfId="11" applyFont="1" applyFill="1" applyBorder="1" applyAlignment="1" applyProtection="1">
      <alignment vertical="center"/>
      <protection locked="0"/>
    </xf>
    <xf numFmtId="0" fontId="16" fillId="2" borderId="4" xfId="11" applyFont="1" applyFill="1" applyBorder="1" applyAlignment="1" applyProtection="1">
      <alignment horizontal="left" vertical="center"/>
      <protection locked="0"/>
    </xf>
    <xf numFmtId="0" fontId="7" fillId="8" borderId="3" xfId="10" applyFont="1" applyFill="1" applyBorder="1" applyAlignment="1" applyProtection="1">
      <alignment horizontal="center" vertical="top" wrapText="1"/>
    </xf>
    <xf numFmtId="4" fontId="10" fillId="8" borderId="8" xfId="10" applyNumberFormat="1" applyFont="1" applyFill="1" applyBorder="1" applyAlignment="1" applyProtection="1">
      <alignment horizontal="right"/>
    </xf>
    <xf numFmtId="4" fontId="6" fillId="8" borderId="8" xfId="10" applyNumberFormat="1" applyFont="1" applyFill="1" applyBorder="1" applyAlignment="1" applyProtection="1">
      <alignment horizontal="right"/>
    </xf>
    <xf numFmtId="0" fontId="16" fillId="2" borderId="3" xfId="10" applyFont="1" applyFill="1" applyBorder="1" applyAlignment="1">
      <alignment horizontal="center" vertical="top" wrapText="1"/>
    </xf>
    <xf numFmtId="10" fontId="24" fillId="2" borderId="2" xfId="16" applyNumberFormat="1" applyFont="1" applyFill="1" applyBorder="1" applyAlignment="1" applyProtection="1">
      <alignment vertical="center"/>
    </xf>
    <xf numFmtId="4" fontId="25" fillId="8" borderId="8" xfId="10" applyNumberFormat="1" applyFont="1" applyFill="1" applyBorder="1" applyAlignment="1" applyProtection="1">
      <alignment horizontal="right"/>
    </xf>
    <xf numFmtId="4" fontId="26" fillId="8" borderId="8" xfId="10" applyNumberFormat="1" applyFont="1" applyFill="1" applyBorder="1" applyAlignment="1" applyProtection="1">
      <alignment horizontal="right"/>
    </xf>
    <xf numFmtId="165" fontId="26" fillId="8" borderId="3" xfId="19" quotePrefix="1" applyFont="1" applyFill="1" applyBorder="1" applyAlignment="1">
      <alignment horizontal="center"/>
    </xf>
    <xf numFmtId="4" fontId="26" fillId="2" borderId="3" xfId="10" applyNumberFormat="1" applyFont="1" applyFill="1" applyBorder="1" applyAlignment="1">
      <alignment horizontal="center" vertical="center"/>
    </xf>
    <xf numFmtId="2" fontId="26" fillId="2" borderId="3" xfId="10" applyNumberFormat="1" applyFont="1" applyFill="1" applyBorder="1"/>
    <xf numFmtId="0" fontId="27" fillId="0" borderId="0" xfId="0" applyFont="1"/>
    <xf numFmtId="0" fontId="26" fillId="9" borderId="8" xfId="11" applyFont="1" applyFill="1" applyBorder="1" applyAlignment="1" applyProtection="1">
      <alignment horizontal="center" vertical="center"/>
      <protection locked="0"/>
    </xf>
    <xf numFmtId="1" fontId="26" fillId="9" borderId="8" xfId="11" applyNumberFormat="1" applyFont="1" applyFill="1" applyBorder="1" applyAlignment="1" applyProtection="1">
      <alignment horizontal="center" vertical="center"/>
      <protection locked="0"/>
    </xf>
    <xf numFmtId="0" fontId="26" fillId="9" borderId="8" xfId="11" applyFont="1" applyFill="1" applyBorder="1" applyAlignment="1" applyProtection="1">
      <alignment horizontal="center" vertical="center"/>
    </xf>
    <xf numFmtId="10" fontId="26" fillId="9" borderId="8" xfId="9" quotePrefix="1" applyNumberFormat="1" applyFont="1" applyFill="1" applyBorder="1" applyAlignment="1" applyProtection="1">
      <alignment horizontal="center"/>
      <protection locked="0"/>
    </xf>
    <xf numFmtId="4" fontId="26" fillId="9" borderId="8" xfId="9" applyNumberFormat="1" applyFont="1" applyFill="1" applyBorder="1" applyAlignment="1" applyProtection="1">
      <alignment horizontal="center"/>
      <protection locked="0"/>
    </xf>
    <xf numFmtId="10" fontId="26" fillId="9" borderId="8" xfId="11" applyNumberFormat="1" applyFont="1" applyFill="1" applyBorder="1" applyAlignment="1" applyProtection="1">
      <alignment horizontal="center" vertical="center"/>
    </xf>
    <xf numFmtId="165" fontId="26" fillId="9" borderId="8" xfId="12" applyFont="1" applyFill="1" applyBorder="1" applyAlignment="1" applyProtection="1">
      <alignment horizontal="center" vertical="center"/>
    </xf>
    <xf numFmtId="49" fontId="25" fillId="2" borderId="3" xfId="14" applyNumberFormat="1" applyFont="1" applyFill="1" applyBorder="1" applyAlignment="1">
      <alignment horizontal="left"/>
    </xf>
    <xf numFmtId="0" fontId="25" fillId="2" borderId="3" xfId="11" applyFont="1" applyFill="1" applyBorder="1" applyAlignment="1">
      <alignment horizontal="center" vertical="center"/>
    </xf>
    <xf numFmtId="167" fontId="25" fillId="2" borderId="3" xfId="11" applyNumberFormat="1" applyFont="1" applyFill="1" applyBorder="1" applyAlignment="1">
      <alignment horizontal="center" vertical="center"/>
    </xf>
    <xf numFmtId="3" fontId="25" fillId="2" borderId="3" xfId="9" quotePrefix="1" applyNumberFormat="1" applyFont="1" applyFill="1" applyBorder="1" applyAlignment="1">
      <alignment horizontal="center"/>
    </xf>
    <xf numFmtId="2" fontId="26" fillId="9" borderId="3" xfId="9" quotePrefix="1" applyNumberFormat="1" applyFont="1" applyFill="1" applyBorder="1" applyAlignment="1">
      <alignment horizontal="center"/>
    </xf>
    <xf numFmtId="0" fontId="16" fillId="0" borderId="0" xfId="0" applyFont="1"/>
    <xf numFmtId="0" fontId="17" fillId="9" borderId="6" xfId="10" applyFont="1" applyFill="1" applyBorder="1" applyAlignment="1">
      <alignment horizontal="center" vertical="top" wrapText="1"/>
    </xf>
    <xf numFmtId="165" fontId="14" fillId="0" borderId="0" xfId="19" applyFont="1"/>
    <xf numFmtId="0" fontId="1" fillId="3" borderId="0" xfId="0" applyFont="1" applyFill="1"/>
    <xf numFmtId="0" fontId="17" fillId="2" borderId="0" xfId="11" applyFont="1" applyFill="1" applyBorder="1" applyAlignment="1" applyProtection="1">
      <alignment horizontal="left" vertical="center"/>
      <protection locked="0"/>
    </xf>
    <xf numFmtId="0" fontId="16" fillId="2" borderId="0" xfId="11" applyFont="1" applyFill="1" applyBorder="1" applyAlignment="1" applyProtection="1">
      <alignment horizontal="left" vertical="center"/>
      <protection locked="0"/>
    </xf>
    <xf numFmtId="10" fontId="16" fillId="2" borderId="0" xfId="1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11" applyFont="1" applyFill="1" applyBorder="1" applyAlignment="1" applyProtection="1">
      <alignment vertical="center"/>
      <protection locked="0"/>
    </xf>
    <xf numFmtId="14" fontId="16" fillId="2" borderId="0" xfId="11" applyNumberFormat="1" applyFont="1" applyFill="1" applyBorder="1" applyAlignment="1" applyProtection="1">
      <alignment horizontal="left" vertical="center"/>
      <protection locked="0"/>
    </xf>
    <xf numFmtId="0" fontId="17" fillId="9" borderId="3" xfId="10" applyFont="1" applyFill="1" applyBorder="1" applyAlignment="1">
      <alignment horizontal="center" vertical="center" wrapText="1"/>
    </xf>
    <xf numFmtId="9" fontId="24" fillId="9" borderId="3" xfId="11" applyNumberFormat="1" applyFont="1" applyFill="1" applyBorder="1" applyAlignment="1">
      <alignment horizontal="center" vertical="center"/>
    </xf>
    <xf numFmtId="3" fontId="13" fillId="2" borderId="3" xfId="14" applyNumberFormat="1" applyFont="1" applyFill="1" applyBorder="1" applyAlignment="1">
      <alignment horizontal="center" vertical="top" wrapText="1"/>
    </xf>
    <xf numFmtId="0" fontId="13" fillId="2" borderId="3" xfId="14" applyFont="1" applyFill="1" applyBorder="1" applyAlignment="1">
      <alignment horizontal="center" vertical="top" wrapText="1"/>
    </xf>
    <xf numFmtId="4" fontId="13" fillId="2" borderId="3" xfId="14" applyNumberFormat="1" applyFont="1" applyFill="1" applyBorder="1" applyAlignment="1">
      <alignment horizontal="center" vertical="top" wrapText="1"/>
    </xf>
    <xf numFmtId="3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0" fontId="29" fillId="3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170" fontId="25" fillId="8" borderId="8" xfId="10" applyNumberFormat="1" applyFont="1" applyFill="1" applyBorder="1" applyAlignment="1" applyProtection="1">
      <alignment horizontal="right"/>
    </xf>
    <xf numFmtId="0" fontId="4" fillId="0" borderId="0" xfId="14" applyFill="1" applyAlignment="1">
      <alignment horizontal="center" wrapText="1"/>
    </xf>
    <xf numFmtId="10" fontId="4" fillId="0" borderId="0" xfId="16" applyNumberFormat="1" applyFont="1" applyFill="1" applyAlignment="1">
      <alignment horizontal="center" wrapText="1"/>
    </xf>
    <xf numFmtId="0" fontId="4" fillId="0" borderId="0" xfId="14" applyFill="1" applyAlignment="1">
      <alignment horizontal="center" vertical="center" wrapText="1"/>
    </xf>
    <xf numFmtId="9" fontId="15" fillId="0" borderId="0" xfId="14" applyNumberFormat="1" applyFont="1" applyFill="1" applyAlignment="1">
      <alignment horizontal="center" vertical="center" wrapText="1"/>
    </xf>
    <xf numFmtId="0" fontId="15" fillId="0" borderId="0" xfId="14" applyFont="1" applyFill="1" applyAlignment="1">
      <alignment horizontal="center" vertical="center" wrapText="1"/>
    </xf>
    <xf numFmtId="0" fontId="7" fillId="9" borderId="1" xfId="10" applyFont="1" applyFill="1" applyBorder="1" applyAlignment="1">
      <alignment horizontal="center" vertical="top" wrapText="1"/>
    </xf>
    <xf numFmtId="0" fontId="7" fillId="8" borderId="1" xfId="1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left" vertical="center" wrapText="1"/>
    </xf>
    <xf numFmtId="0" fontId="16" fillId="2" borderId="9" xfId="11" applyFont="1" applyFill="1" applyBorder="1" applyAlignment="1" applyProtection="1">
      <alignment vertical="center"/>
      <protection locked="0"/>
    </xf>
    <xf numFmtId="0" fontId="16" fillId="2" borderId="1" xfId="11" applyFont="1" applyFill="1" applyBorder="1" applyAlignment="1" applyProtection="1">
      <alignment vertical="center"/>
      <protection locked="0"/>
    </xf>
    <xf numFmtId="0" fontId="16" fillId="2" borderId="6" xfId="11" applyFont="1" applyFill="1" applyBorder="1" applyAlignment="1" applyProtection="1">
      <alignment vertical="center"/>
      <protection locked="0"/>
    </xf>
    <xf numFmtId="0" fontId="17" fillId="2" borderId="14" xfId="11" applyFont="1" applyFill="1" applyBorder="1" applyAlignment="1" applyProtection="1">
      <alignment horizontal="left" vertical="center"/>
      <protection locked="0"/>
    </xf>
    <xf numFmtId="0" fontId="17" fillId="10" borderId="3" xfId="10" applyFont="1" applyFill="1" applyBorder="1" applyAlignment="1">
      <alignment horizontal="left" vertical="top" wrapText="1"/>
    </xf>
    <xf numFmtId="164" fontId="6" fillId="8" borderId="3" xfId="19" applyNumberFormat="1" applyFont="1" applyFill="1" applyBorder="1" applyAlignment="1">
      <alignment horizontal="center"/>
    </xf>
    <xf numFmtId="164" fontId="6" fillId="8" borderId="3" xfId="19" quotePrefix="1" applyNumberFormat="1" applyFont="1" applyFill="1" applyBorder="1" applyAlignment="1">
      <alignment horizontal="center"/>
    </xf>
    <xf numFmtId="0" fontId="6" fillId="8" borderId="3" xfId="9" quotePrefix="1" applyNumberFormat="1" applyFont="1" applyFill="1" applyBorder="1" applyAlignment="1">
      <alignment horizontal="center"/>
    </xf>
    <xf numFmtId="0" fontId="16" fillId="9" borderId="1" xfId="10" applyFont="1" applyFill="1" applyBorder="1" applyAlignment="1">
      <alignment horizontal="left" vertical="center" wrapText="1"/>
    </xf>
    <xf numFmtId="0" fontId="16" fillId="8" borderId="1" xfId="10" applyFont="1" applyFill="1" applyBorder="1" applyAlignment="1">
      <alignment horizontal="center" vertical="center" wrapText="1"/>
    </xf>
    <xf numFmtId="0" fontId="6" fillId="8" borderId="3" xfId="9" applyNumberFormat="1" applyFont="1" applyFill="1" applyBorder="1" applyAlignment="1">
      <alignment horizontal="center"/>
    </xf>
    <xf numFmtId="0" fontId="16" fillId="2" borderId="4" xfId="16" applyNumberFormat="1" applyFont="1" applyFill="1" applyBorder="1" applyAlignment="1" applyProtection="1">
      <alignment horizontal="left" vertical="center"/>
      <protection locked="0"/>
    </xf>
    <xf numFmtId="9" fontId="16" fillId="2" borderId="3" xfId="16" applyFont="1" applyFill="1" applyBorder="1" applyAlignment="1" applyProtection="1">
      <alignment horizontal="center" vertical="center"/>
      <protection locked="0"/>
    </xf>
    <xf numFmtId="2" fontId="16" fillId="2" borderId="8" xfId="11" applyNumberFormat="1" applyFont="1" applyFill="1" applyBorder="1" applyAlignment="1">
      <alignment horizontal="center" vertical="center"/>
    </xf>
    <xf numFmtId="9" fontId="6" fillId="2" borderId="3" xfId="16" applyFont="1" applyFill="1" applyBorder="1" applyAlignment="1">
      <alignment horizontal="center" vertical="center"/>
    </xf>
    <xf numFmtId="0" fontId="4" fillId="0" borderId="0" xfId="14" applyFill="1" applyBorder="1" applyAlignment="1">
      <alignment wrapText="1"/>
    </xf>
    <xf numFmtId="4" fontId="10" fillId="2" borderId="3" xfId="1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5" fontId="0" fillId="0" borderId="0" xfId="19" applyFont="1" applyFill="1" applyBorder="1"/>
    <xf numFmtId="9" fontId="0" fillId="0" borderId="0" xfId="0" applyNumberFormat="1" applyFill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16" fillId="0" borderId="0" xfId="19" applyFont="1" applyFill="1" applyBorder="1"/>
    <xf numFmtId="165" fontId="16" fillId="2" borderId="0" xfId="18" applyFont="1" applyFill="1"/>
    <xf numFmtId="0" fontId="34" fillId="0" borderId="0" xfId="0" applyFont="1"/>
    <xf numFmtId="14" fontId="16" fillId="2" borderId="1" xfId="11" applyNumberFormat="1" applyFont="1" applyFill="1" applyBorder="1" applyAlignment="1" applyProtection="1">
      <alignment horizontal="left" vertical="center"/>
      <protection locked="0"/>
    </xf>
    <xf numFmtId="14" fontId="16" fillId="2" borderId="4" xfId="11" applyNumberFormat="1" applyFont="1" applyFill="1" applyBorder="1" applyAlignment="1" applyProtection="1">
      <alignment horizontal="left" vertical="center"/>
      <protection locked="0"/>
    </xf>
    <xf numFmtId="0" fontId="16" fillId="2" borderId="1" xfId="11" applyFont="1" applyFill="1" applyBorder="1" applyAlignment="1" applyProtection="1">
      <alignment horizontal="left" vertical="center"/>
      <protection locked="0"/>
    </xf>
    <xf numFmtId="0" fontId="16" fillId="2" borderId="4" xfId="11" applyFont="1" applyFill="1" applyBorder="1" applyAlignment="1" applyProtection="1">
      <alignment horizontal="left" vertical="center"/>
      <protection locked="0"/>
    </xf>
    <xf numFmtId="9" fontId="17" fillId="2" borderId="1" xfId="11" applyNumberFormat="1" applyFont="1" applyFill="1" applyBorder="1" applyAlignment="1" applyProtection="1">
      <alignment horizontal="center" vertical="center"/>
      <protection locked="0"/>
    </xf>
    <xf numFmtId="0" fontId="17" fillId="2" borderId="4" xfId="11" applyFont="1" applyFill="1" applyBorder="1" applyAlignment="1" applyProtection="1">
      <alignment horizontal="center" vertical="center"/>
      <protection locked="0"/>
    </xf>
    <xf numFmtId="10" fontId="30" fillId="2" borderId="1" xfId="11" applyNumberFormat="1" applyFont="1" applyFill="1" applyBorder="1" applyAlignment="1" applyProtection="1">
      <alignment horizontal="left" vertical="center"/>
      <protection locked="0"/>
    </xf>
    <xf numFmtId="0" fontId="30" fillId="2" borderId="4" xfId="11" applyFont="1" applyFill="1" applyBorder="1" applyAlignment="1" applyProtection="1">
      <alignment horizontal="left" vertical="center"/>
      <protection locked="0"/>
    </xf>
    <xf numFmtId="0" fontId="16" fillId="2" borderId="1" xfId="11" applyFont="1" applyFill="1" applyBorder="1" applyAlignment="1" applyProtection="1">
      <alignment horizontal="right" vertical="center"/>
      <protection locked="0"/>
    </xf>
    <xf numFmtId="0" fontId="16" fillId="2" borderId="2" xfId="11" applyFont="1" applyFill="1" applyBorder="1" applyAlignment="1" applyProtection="1">
      <alignment horizontal="right" vertical="center"/>
      <protection locked="0"/>
    </xf>
    <xf numFmtId="0" fontId="16" fillId="2" borderId="4" xfId="11" applyFont="1" applyFill="1" applyBorder="1" applyAlignment="1" applyProtection="1">
      <alignment horizontal="right" vertical="center"/>
      <protection locked="0"/>
    </xf>
    <xf numFmtId="1" fontId="23" fillId="2" borderId="1" xfId="11" applyNumberFormat="1" applyFont="1" applyFill="1" applyBorder="1" applyAlignment="1" applyProtection="1">
      <alignment horizontal="center" vertical="center"/>
    </xf>
    <xf numFmtId="1" fontId="23" fillId="2" borderId="4" xfId="11" applyNumberFormat="1" applyFont="1" applyFill="1" applyBorder="1" applyAlignment="1" applyProtection="1">
      <alignment horizontal="center" vertical="center"/>
    </xf>
    <xf numFmtId="0" fontId="17" fillId="2" borderId="2" xfId="11" applyFont="1" applyFill="1" applyBorder="1" applyAlignment="1" applyProtection="1">
      <alignment horizontal="center" vertical="center"/>
      <protection locked="0"/>
    </xf>
    <xf numFmtId="10" fontId="16" fillId="2" borderId="1" xfId="11" applyNumberFormat="1" applyFont="1" applyFill="1" applyBorder="1" applyAlignment="1" applyProtection="1">
      <alignment horizontal="center" vertical="center"/>
      <protection locked="0"/>
    </xf>
    <xf numFmtId="10" fontId="16" fillId="2" borderId="4" xfId="11" applyNumberFormat="1" applyFont="1" applyFill="1" applyBorder="1" applyAlignment="1" applyProtection="1">
      <alignment horizontal="center" vertical="center"/>
      <protection locked="0"/>
    </xf>
    <xf numFmtId="0" fontId="16" fillId="2" borderId="5" xfId="11" applyFont="1" applyFill="1" applyBorder="1" applyAlignment="1" applyProtection="1">
      <alignment horizontal="left" vertical="center"/>
      <protection locked="0"/>
    </xf>
    <xf numFmtId="0" fontId="16" fillId="2" borderId="14" xfId="11" applyFont="1" applyFill="1" applyBorder="1" applyAlignment="1" applyProtection="1">
      <alignment horizontal="left" vertical="center"/>
      <protection locked="0"/>
    </xf>
    <xf numFmtId="0" fontId="18" fillId="2" borderId="1" xfId="10" applyFont="1" applyFill="1" applyBorder="1" applyAlignment="1">
      <alignment horizontal="center" vertical="top" wrapText="1"/>
    </xf>
    <xf numFmtId="0" fontId="18" fillId="2" borderId="4" xfId="10" applyFont="1" applyFill="1" applyBorder="1" applyAlignment="1">
      <alignment horizontal="center" vertical="top" wrapText="1"/>
    </xf>
    <xf numFmtId="0" fontId="18" fillId="10" borderId="4" xfId="10" applyFont="1" applyFill="1" applyBorder="1" applyAlignment="1">
      <alignment horizontal="center" vertical="top" wrapText="1"/>
    </xf>
    <xf numFmtId="10" fontId="16" fillId="2" borderId="2" xfId="11" applyNumberFormat="1" applyFont="1" applyFill="1" applyBorder="1" applyAlignment="1" applyProtection="1">
      <alignment horizontal="center" vertical="center" wrapText="1"/>
      <protection locked="0"/>
    </xf>
    <xf numFmtId="10" fontId="16" fillId="2" borderId="3" xfId="11" applyNumberFormat="1" applyFont="1" applyFill="1" applyBorder="1" applyAlignment="1" applyProtection="1">
      <alignment horizontal="center" vertical="center" wrapText="1"/>
      <protection locked="0"/>
    </xf>
    <xf numFmtId="10" fontId="16" fillId="2" borderId="1" xfId="11" applyNumberFormat="1" applyFont="1" applyFill="1" applyBorder="1" applyAlignment="1" applyProtection="1">
      <alignment horizontal="center" vertical="center" wrapText="1"/>
      <protection locked="0"/>
    </xf>
    <xf numFmtId="10" fontId="16" fillId="2" borderId="4" xfId="11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left"/>
    </xf>
    <xf numFmtId="0" fontId="18" fillId="9" borderId="9" xfId="10" applyFont="1" applyFill="1" applyBorder="1" applyAlignment="1">
      <alignment horizontal="center" vertical="top" wrapText="1"/>
    </xf>
    <xf numFmtId="0" fontId="18" fillId="9" borderId="10" xfId="10" applyFont="1" applyFill="1" applyBorder="1" applyAlignment="1">
      <alignment horizontal="center" vertical="top" wrapText="1"/>
    </xf>
    <xf numFmtId="0" fontId="18" fillId="13" borderId="4" xfId="10" applyFont="1" applyFill="1" applyBorder="1" applyAlignment="1">
      <alignment horizontal="center" vertical="top" wrapText="1"/>
    </xf>
    <xf numFmtId="0" fontId="17" fillId="2" borderId="1" xfId="11" applyFont="1" applyFill="1" applyBorder="1" applyAlignment="1" applyProtection="1">
      <alignment horizontal="left" vertical="center"/>
      <protection locked="0"/>
    </xf>
    <xf numFmtId="0" fontId="17" fillId="2" borderId="4" xfId="11" applyFont="1" applyFill="1" applyBorder="1" applyAlignment="1" applyProtection="1">
      <alignment horizontal="left" vertical="center"/>
      <protection locked="0"/>
    </xf>
    <xf numFmtId="0" fontId="7" fillId="8" borderId="6" xfId="10" applyFont="1" applyFill="1" applyBorder="1" applyAlignment="1" applyProtection="1">
      <alignment horizontal="center" vertical="center" wrapText="1"/>
      <protection locked="0"/>
    </xf>
    <xf numFmtId="0" fontId="7" fillId="8" borderId="0" xfId="10" applyFont="1" applyFill="1" applyBorder="1" applyAlignment="1" applyProtection="1">
      <alignment horizontal="center" vertical="center" wrapText="1"/>
      <protection locked="0"/>
    </xf>
    <xf numFmtId="0" fontId="7" fillId="8" borderId="7" xfId="10" applyFont="1" applyFill="1" applyBorder="1" applyAlignment="1" applyProtection="1">
      <alignment horizontal="center" vertical="center" wrapText="1"/>
      <protection locked="0"/>
    </xf>
    <xf numFmtId="0" fontId="7" fillId="9" borderId="1" xfId="10" applyFont="1" applyFill="1" applyBorder="1" applyAlignment="1" applyProtection="1">
      <alignment horizontal="center" vertical="center" wrapText="1"/>
      <protection locked="0"/>
    </xf>
    <xf numFmtId="0" fontId="7" fillId="9" borderId="4" xfId="10" applyFont="1" applyFill="1" applyBorder="1" applyAlignment="1" applyProtection="1">
      <alignment horizontal="center" vertical="center" wrapText="1"/>
      <protection locked="0"/>
    </xf>
    <xf numFmtId="0" fontId="7" fillId="9" borderId="2" xfId="10" applyFont="1" applyFill="1" applyBorder="1" applyAlignment="1" applyProtection="1">
      <alignment horizontal="center" vertical="center" wrapText="1"/>
      <protection locked="0"/>
    </xf>
    <xf numFmtId="0" fontId="7" fillId="2" borderId="1" xfId="10" applyFont="1" applyFill="1" applyBorder="1" applyAlignment="1">
      <alignment horizontal="center" vertical="center"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top" wrapText="1"/>
    </xf>
    <xf numFmtId="0" fontId="7" fillId="2" borderId="4" xfId="10" applyFont="1" applyFill="1" applyBorder="1" applyAlignment="1">
      <alignment horizontal="center" vertical="top" wrapText="1"/>
    </xf>
    <xf numFmtId="0" fontId="7" fillId="2" borderId="2" xfId="10" applyFont="1" applyFill="1" applyBorder="1" applyAlignment="1">
      <alignment horizontal="center" vertical="top" wrapText="1"/>
    </xf>
    <xf numFmtId="0" fontId="7" fillId="10" borderId="1" xfId="10" applyFont="1" applyFill="1" applyBorder="1" applyAlignment="1">
      <alignment horizontal="center" vertical="center" wrapText="1"/>
    </xf>
    <xf numFmtId="0" fontId="7" fillId="10" borderId="4" xfId="10" applyFont="1" applyFill="1" applyBorder="1" applyAlignment="1">
      <alignment horizontal="center" vertical="center" wrapText="1"/>
    </xf>
    <xf numFmtId="0" fontId="7" fillId="10" borderId="2" xfId="10" applyFont="1" applyFill="1" applyBorder="1" applyAlignment="1">
      <alignment horizontal="center" vertical="center" wrapText="1"/>
    </xf>
    <xf numFmtId="0" fontId="7" fillId="8" borderId="1" xfId="10" applyFont="1" applyFill="1" applyBorder="1" applyAlignment="1">
      <alignment horizontal="center" vertical="center" wrapText="1"/>
    </xf>
    <xf numFmtId="0" fontId="7" fillId="8" borderId="4" xfId="10" applyFont="1" applyFill="1" applyBorder="1" applyAlignment="1">
      <alignment horizontal="center" vertical="center" wrapText="1"/>
    </xf>
    <xf numFmtId="0" fontId="7" fillId="8" borderId="2" xfId="10" applyFont="1" applyFill="1" applyBorder="1" applyAlignment="1">
      <alignment horizontal="center" vertical="center" wrapText="1"/>
    </xf>
    <xf numFmtId="0" fontId="7" fillId="9" borderId="1" xfId="10" applyFont="1" applyFill="1" applyBorder="1" applyAlignment="1">
      <alignment horizontal="center" vertical="center" wrapText="1"/>
    </xf>
    <xf numFmtId="0" fontId="7" fillId="9" borderId="4" xfId="10" applyFont="1" applyFill="1" applyBorder="1" applyAlignment="1">
      <alignment horizontal="center" vertical="center" wrapText="1"/>
    </xf>
    <xf numFmtId="0" fontId="7" fillId="9" borderId="2" xfId="10" applyFont="1" applyFill="1" applyBorder="1" applyAlignment="1">
      <alignment horizontal="center" vertical="center" wrapText="1"/>
    </xf>
    <xf numFmtId="0" fontId="11" fillId="12" borderId="3" xfId="14" applyFont="1" applyFill="1" applyBorder="1" applyAlignment="1">
      <alignment horizontal="center" vertical="center" wrapText="1"/>
    </xf>
    <xf numFmtId="0" fontId="11" fillId="12" borderId="3" xfId="14" applyFont="1" applyFill="1" applyBorder="1" applyAlignment="1">
      <alignment horizontal="center" vertical="center"/>
    </xf>
  </cellXfs>
  <cellStyles count="20">
    <cellStyle name="Comma" xfId="19" builtinId="3"/>
    <cellStyle name="Comma 2" xfId="5" xr:uid="{00000000-0005-0000-0000-000001000000}"/>
    <cellStyle name="Comma 3" xfId="12" xr:uid="{00000000-0005-0000-0000-000002000000}"/>
    <cellStyle name="Comma 4" xfId="18" xr:uid="{00000000-0005-0000-0000-000003000000}"/>
    <cellStyle name="Euro" xfId="8" xr:uid="{00000000-0005-0000-0000-000004000000}"/>
    <cellStyle name="Excel_BuiltIn_Normal 3" xfId="2" xr:uid="{00000000-0005-0000-0000-000005000000}"/>
    <cellStyle name="Normal" xfId="0" builtinId="0"/>
    <cellStyle name="Normal 2" xfId="3" xr:uid="{00000000-0005-0000-0000-000007000000}"/>
    <cellStyle name="Normal 2 2" xfId="6" xr:uid="{00000000-0005-0000-0000-000008000000}"/>
    <cellStyle name="Normal 2 3" xfId="14" xr:uid="{00000000-0005-0000-0000-000009000000}"/>
    <cellStyle name="Normal 3" xfId="4" xr:uid="{00000000-0005-0000-0000-00000A000000}"/>
    <cellStyle name="Normal 3 2" xfId="7" xr:uid="{00000000-0005-0000-0000-00000B000000}"/>
    <cellStyle name="Normal 4" xfId="10" xr:uid="{00000000-0005-0000-0000-00000C000000}"/>
    <cellStyle name="Normal 4 2" xfId="15" xr:uid="{00000000-0005-0000-0000-00000D000000}"/>
    <cellStyle name="Normal 5" xfId="1" xr:uid="{00000000-0005-0000-0000-00000E000000}"/>
    <cellStyle name="Percent" xfId="16" builtinId="5"/>
    <cellStyle name="Percent 2" xfId="13" xr:uid="{00000000-0005-0000-0000-000010000000}"/>
    <cellStyle name="Percent 3" xfId="17" xr:uid="{00000000-0005-0000-0000-000011000000}"/>
    <cellStyle name="Standard_36 Monate" xfId="9" xr:uid="{00000000-0005-0000-0000-000012000000}"/>
    <cellStyle name="Standard_Tabelle1" xfId="11" xr:uid="{00000000-0005-0000-0000-000013000000}"/>
  </cellStyles>
  <dxfs count="0"/>
  <tableStyles count="0" defaultTableStyle="TableStyleMedium9" defaultPivotStyle="PivotStyleLight16"/>
  <colors>
    <mruColors>
      <color rgb="FF004665"/>
      <color rgb="FFE1D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93"/>
  <sheetViews>
    <sheetView tabSelected="1" zoomScaleNormal="100" zoomScaleSheetLayoutView="90" workbookViewId="0">
      <selection activeCell="D18" sqref="D18"/>
    </sheetView>
  </sheetViews>
  <sheetFormatPr defaultColWidth="9.109375" defaultRowHeight="14.4" x14ac:dyDescent="0.3"/>
  <cols>
    <col min="1" max="1" width="43.44140625" style="32" customWidth="1"/>
    <col min="2" max="2" width="10.109375" style="32" customWidth="1"/>
    <col min="3" max="3" width="5.44140625" style="32" customWidth="1"/>
    <col min="4" max="4" width="17.44140625" style="32" customWidth="1"/>
    <col min="5" max="5" width="16.6640625" style="32" customWidth="1"/>
    <col min="6" max="6" width="8.6640625" style="32" bestFit="1" customWidth="1"/>
    <col min="7" max="7" width="8.109375" style="31" customWidth="1"/>
    <col min="8" max="8" width="9.5546875" style="31" customWidth="1"/>
    <col min="9" max="9" width="8.33203125" style="31" customWidth="1"/>
    <col min="10" max="10" width="15.33203125" style="29" customWidth="1"/>
    <col min="11" max="11" width="8.6640625" style="29" customWidth="1"/>
    <col min="12" max="12" width="13.88671875" style="29" customWidth="1"/>
    <col min="13" max="13" width="7.109375" style="30" customWidth="1"/>
    <col min="14" max="14" width="10.44140625" style="30" customWidth="1"/>
    <col min="15" max="15" width="10.109375" style="30" customWidth="1"/>
    <col min="16" max="16" width="8.109375" style="30" customWidth="1"/>
    <col min="17" max="17" width="12.88671875" style="30" customWidth="1"/>
    <col min="18" max="18" width="9" style="30" customWidth="1"/>
    <col min="19" max="19" width="21" bestFit="1" customWidth="1"/>
    <col min="20" max="20" width="17.44140625" bestFit="1" customWidth="1"/>
    <col min="21" max="21" width="21" bestFit="1" customWidth="1"/>
    <col min="22" max="22" width="17.5546875" bestFit="1" customWidth="1"/>
    <col min="25" max="25" width="21" bestFit="1" customWidth="1"/>
    <col min="26" max="26" width="14" customWidth="1"/>
    <col min="30" max="30" width="21" bestFit="1" customWidth="1"/>
  </cols>
  <sheetData>
    <row r="1" spans="1:20" ht="15" thickBot="1" x14ac:dyDescent="0.35">
      <c r="A1" s="240" t="s">
        <v>57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20" s="48" customFormat="1" ht="15.75" customHeight="1" thickBot="1" x14ac:dyDescent="0.35">
      <c r="A2" s="233" t="s">
        <v>118</v>
      </c>
      <c r="B2" s="234"/>
      <c r="C2" s="234"/>
      <c r="D2" s="234" t="s">
        <v>119</v>
      </c>
      <c r="E2" s="234"/>
      <c r="F2" s="234"/>
      <c r="G2" s="243" t="s">
        <v>120</v>
      </c>
      <c r="H2" s="243"/>
      <c r="I2" s="243"/>
      <c r="J2" s="235" t="s">
        <v>46</v>
      </c>
      <c r="K2" s="235"/>
      <c r="L2" s="235"/>
      <c r="M2" s="241" t="s">
        <v>55</v>
      </c>
      <c r="N2" s="241"/>
      <c r="O2" s="241"/>
      <c r="P2" s="241"/>
      <c r="Q2" s="241"/>
      <c r="R2" s="242"/>
    </row>
    <row r="3" spans="1:20" s="36" customFormat="1" ht="43.8" thickBot="1" x14ac:dyDescent="0.35">
      <c r="A3" s="41" t="s">
        <v>6</v>
      </c>
      <c r="B3" s="41" t="s">
        <v>31</v>
      </c>
      <c r="C3" s="41" t="s">
        <v>35</v>
      </c>
      <c r="D3" s="106" t="s">
        <v>38</v>
      </c>
      <c r="E3" s="41"/>
      <c r="F3" s="106" t="s">
        <v>87</v>
      </c>
      <c r="G3" s="42" t="s">
        <v>39</v>
      </c>
      <c r="H3" s="42" t="s">
        <v>1</v>
      </c>
      <c r="I3" s="42" t="s">
        <v>51</v>
      </c>
      <c r="J3" s="193" t="s">
        <v>40</v>
      </c>
      <c r="K3" s="43" t="s">
        <v>41</v>
      </c>
      <c r="L3" s="43" t="s">
        <v>127</v>
      </c>
      <c r="M3" s="44" t="s">
        <v>42</v>
      </c>
      <c r="N3" s="44" t="s">
        <v>44</v>
      </c>
      <c r="O3" s="44" t="s">
        <v>45</v>
      </c>
      <c r="P3" s="44" t="s">
        <v>43</v>
      </c>
      <c r="Q3" s="44" t="s">
        <v>103</v>
      </c>
      <c r="R3" s="169" t="s">
        <v>104</v>
      </c>
      <c r="T3" s="161" t="s">
        <v>101</v>
      </c>
    </row>
    <row r="4" spans="1:20" s="36" customFormat="1" ht="15" thickBot="1" x14ac:dyDescent="0.35">
      <c r="A4" s="214" t="s">
        <v>142</v>
      </c>
      <c r="B4" s="202" t="s">
        <v>143</v>
      </c>
      <c r="C4" s="38">
        <v>81</v>
      </c>
      <c r="D4" s="38" t="s">
        <v>59</v>
      </c>
      <c r="E4" s="140"/>
      <c r="F4" s="140" t="s">
        <v>140</v>
      </c>
      <c r="G4" s="39" t="s">
        <v>141</v>
      </c>
      <c r="H4" s="40">
        <v>48</v>
      </c>
      <c r="I4" s="40">
        <v>50000</v>
      </c>
      <c r="J4" s="47">
        <v>89092</v>
      </c>
      <c r="K4" s="46">
        <v>0</v>
      </c>
      <c r="L4" s="45">
        <v>89092</v>
      </c>
      <c r="M4" s="51">
        <v>0.3</v>
      </c>
      <c r="N4" s="52"/>
      <c r="O4" s="52"/>
      <c r="P4" s="52"/>
      <c r="Q4" s="170">
        <f>MAX(M4,N4,O4,P4)*L4/J4</f>
        <v>0.3</v>
      </c>
      <c r="R4" s="170">
        <f>Q4-M4</f>
        <v>0</v>
      </c>
      <c r="S4" s="162"/>
      <c r="T4" s="162" t="e">
        <f>Customer!I4</f>
        <v>#N/A</v>
      </c>
    </row>
    <row r="5" spans="1:20" s="36" customFormat="1" ht="15" thickBot="1" x14ac:dyDescent="0.35">
      <c r="A5" s="214" t="s">
        <v>144</v>
      </c>
      <c r="B5" s="202" t="s">
        <v>145</v>
      </c>
      <c r="C5" s="38">
        <v>206</v>
      </c>
      <c r="D5" s="38"/>
      <c r="E5" s="140"/>
      <c r="F5" s="140" t="s">
        <v>140</v>
      </c>
      <c r="G5" s="39" t="s">
        <v>141</v>
      </c>
      <c r="H5" s="40">
        <v>48</v>
      </c>
      <c r="I5" s="40">
        <v>50000</v>
      </c>
      <c r="J5" s="47">
        <v>109086</v>
      </c>
      <c r="K5" s="46">
        <v>0</v>
      </c>
      <c r="L5" s="45">
        <v>109086</v>
      </c>
      <c r="M5" s="51">
        <v>0.19</v>
      </c>
      <c r="N5" s="52"/>
      <c r="O5" s="52"/>
      <c r="P5" s="52"/>
      <c r="Q5" s="170">
        <f t="shared" ref="Q5:Q12" si="0">MAX(M5,N5,O5,P5)*L5/J5</f>
        <v>0.19</v>
      </c>
      <c r="R5" s="170">
        <f t="shared" ref="R5:R12" si="1">Q5-M5</f>
        <v>0</v>
      </c>
      <c r="S5" s="162"/>
      <c r="T5" s="162"/>
    </row>
    <row r="6" spans="1:20" s="36" customFormat="1" ht="15" thickBot="1" x14ac:dyDescent="0.35">
      <c r="A6" s="214" t="s">
        <v>146</v>
      </c>
      <c r="B6" s="202" t="s">
        <v>143</v>
      </c>
      <c r="C6" s="38">
        <v>110</v>
      </c>
      <c r="D6" s="38"/>
      <c r="E6" s="140"/>
      <c r="F6" s="106" t="s">
        <v>140</v>
      </c>
      <c r="G6" s="39" t="s">
        <v>141</v>
      </c>
      <c r="H6" s="40">
        <v>48</v>
      </c>
      <c r="I6" s="40">
        <v>50000</v>
      </c>
      <c r="J6" s="47">
        <v>53520</v>
      </c>
      <c r="K6" s="46">
        <v>0</v>
      </c>
      <c r="L6" s="45">
        <v>53520</v>
      </c>
      <c r="M6" s="51">
        <v>0.25</v>
      </c>
      <c r="N6" s="52"/>
      <c r="O6" s="52"/>
      <c r="P6" s="52"/>
      <c r="Q6" s="170">
        <f t="shared" si="0"/>
        <v>0.25</v>
      </c>
      <c r="R6" s="170">
        <f t="shared" si="1"/>
        <v>0</v>
      </c>
      <c r="S6" s="162"/>
      <c r="T6" s="162"/>
    </row>
    <row r="7" spans="1:20" s="36" customFormat="1" ht="15" thickBot="1" x14ac:dyDescent="0.35">
      <c r="A7" s="34"/>
      <c r="B7" s="37"/>
      <c r="C7" s="38"/>
      <c r="D7" s="38"/>
      <c r="E7" s="140"/>
      <c r="F7" s="41"/>
      <c r="G7" s="39"/>
      <c r="H7" s="40"/>
      <c r="I7" s="40"/>
      <c r="J7" s="45"/>
      <c r="K7" s="46" t="e">
        <f t="shared" ref="K7:K12" si="2">(J7-L7)/J7</f>
        <v>#DIV/0!</v>
      </c>
      <c r="L7" s="45"/>
      <c r="M7" s="51"/>
      <c r="N7" s="51"/>
      <c r="O7" s="51"/>
      <c r="P7" s="51"/>
      <c r="Q7" s="170" t="e">
        <f t="shared" si="0"/>
        <v>#DIV/0!</v>
      </c>
      <c r="R7" s="170" t="e">
        <f t="shared" si="1"/>
        <v>#DIV/0!</v>
      </c>
      <c r="S7" s="162"/>
      <c r="T7" s="162"/>
    </row>
    <row r="8" spans="1:20" s="36" customFormat="1" ht="15" thickBot="1" x14ac:dyDescent="0.35">
      <c r="A8" s="34"/>
      <c r="B8" s="37"/>
      <c r="C8" s="38"/>
      <c r="D8" s="38"/>
      <c r="E8" s="140"/>
      <c r="F8" s="41"/>
      <c r="G8" s="39"/>
      <c r="H8" s="40"/>
      <c r="I8" s="40"/>
      <c r="J8" s="45"/>
      <c r="K8" s="46" t="e">
        <f t="shared" si="2"/>
        <v>#DIV/0!</v>
      </c>
      <c r="L8" s="45"/>
      <c r="M8" s="51"/>
      <c r="N8" s="51"/>
      <c r="O8" s="51"/>
      <c r="P8" s="51"/>
      <c r="Q8" s="170" t="e">
        <f t="shared" si="0"/>
        <v>#DIV/0!</v>
      </c>
      <c r="R8" s="170" t="e">
        <f t="shared" si="1"/>
        <v>#DIV/0!</v>
      </c>
      <c r="S8" s="162"/>
      <c r="T8" s="162"/>
    </row>
    <row r="9" spans="1:20" s="36" customFormat="1" ht="15" thickBot="1" x14ac:dyDescent="0.35">
      <c r="A9" s="34"/>
      <c r="B9" s="37"/>
      <c r="C9" s="38"/>
      <c r="D9" s="38"/>
      <c r="E9" s="140"/>
      <c r="F9" s="41"/>
      <c r="G9" s="39"/>
      <c r="H9" s="40"/>
      <c r="I9" s="40"/>
      <c r="J9" s="45"/>
      <c r="K9" s="46" t="e">
        <f t="shared" si="2"/>
        <v>#DIV/0!</v>
      </c>
      <c r="L9" s="45"/>
      <c r="M9" s="51"/>
      <c r="N9" s="51"/>
      <c r="O9" s="51"/>
      <c r="P9" s="51"/>
      <c r="Q9" s="170" t="e">
        <f t="shared" si="0"/>
        <v>#DIV/0!</v>
      </c>
      <c r="R9" s="170" t="e">
        <f t="shared" si="1"/>
        <v>#DIV/0!</v>
      </c>
      <c r="S9" s="162"/>
      <c r="T9" s="162"/>
    </row>
    <row r="10" spans="1:20" s="36" customFormat="1" ht="15" thickBot="1" x14ac:dyDescent="0.35">
      <c r="A10" s="34"/>
      <c r="B10" s="37"/>
      <c r="C10" s="38"/>
      <c r="D10" s="38"/>
      <c r="E10" s="140"/>
      <c r="F10" s="41"/>
      <c r="G10" s="39"/>
      <c r="H10" s="40"/>
      <c r="I10" s="40"/>
      <c r="J10" s="45"/>
      <c r="K10" s="46" t="e">
        <f t="shared" si="2"/>
        <v>#DIV/0!</v>
      </c>
      <c r="L10" s="45"/>
      <c r="M10" s="51"/>
      <c r="N10" s="51"/>
      <c r="O10" s="51"/>
      <c r="P10" s="51"/>
      <c r="Q10" s="170" t="e">
        <f t="shared" si="0"/>
        <v>#DIV/0!</v>
      </c>
      <c r="R10" s="170" t="e">
        <f t="shared" si="1"/>
        <v>#DIV/0!</v>
      </c>
      <c r="S10" s="162"/>
      <c r="T10" s="162"/>
    </row>
    <row r="11" spans="1:20" s="36" customFormat="1" ht="15" thickBot="1" x14ac:dyDescent="0.35">
      <c r="A11" s="34"/>
      <c r="B11" s="37"/>
      <c r="C11" s="38"/>
      <c r="D11" s="38"/>
      <c r="E11" s="140"/>
      <c r="F11" s="41"/>
      <c r="G11" s="39"/>
      <c r="H11" s="40"/>
      <c r="I11" s="40"/>
      <c r="J11" s="47"/>
      <c r="K11" s="46" t="e">
        <f t="shared" si="2"/>
        <v>#DIV/0!</v>
      </c>
      <c r="L11" s="45"/>
      <c r="M11" s="52"/>
      <c r="N11" s="52"/>
      <c r="O11" s="52"/>
      <c r="P11" s="52"/>
      <c r="Q11" s="170" t="e">
        <f t="shared" si="0"/>
        <v>#DIV/0!</v>
      </c>
      <c r="R11" s="170" t="e">
        <f t="shared" si="1"/>
        <v>#DIV/0!</v>
      </c>
      <c r="S11" s="162"/>
      <c r="T11" s="162"/>
    </row>
    <row r="12" spans="1:20" s="36" customFormat="1" ht="15" thickBot="1" x14ac:dyDescent="0.35">
      <c r="A12" s="34"/>
      <c r="B12" s="37"/>
      <c r="C12" s="38"/>
      <c r="D12" s="38"/>
      <c r="E12" s="140"/>
      <c r="F12" s="41"/>
      <c r="G12" s="39"/>
      <c r="H12" s="40"/>
      <c r="I12" s="40"/>
      <c r="J12" s="47"/>
      <c r="K12" s="46" t="e">
        <f t="shared" si="2"/>
        <v>#DIV/0!</v>
      </c>
      <c r="L12" s="45"/>
      <c r="M12" s="52"/>
      <c r="N12" s="52"/>
      <c r="O12" s="52"/>
      <c r="P12" s="52"/>
      <c r="Q12" s="170" t="e">
        <f t="shared" si="0"/>
        <v>#DIV/0!</v>
      </c>
      <c r="R12" s="170" t="e">
        <f t="shared" si="1"/>
        <v>#DIV/0!</v>
      </c>
      <c r="S12" s="162"/>
      <c r="T12" s="162"/>
    </row>
    <row r="13" spans="1:20" s="36" customFormat="1" ht="15" thickBot="1" x14ac:dyDescent="0.35">
      <c r="A13" s="33" t="s">
        <v>47</v>
      </c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192"/>
      <c r="R13" s="164"/>
      <c r="S13" s="162"/>
    </row>
    <row r="14" spans="1:20" s="36" customFormat="1" ht="15" thickBot="1" x14ac:dyDescent="0.35">
      <c r="A14" s="82" t="s">
        <v>124</v>
      </c>
      <c r="B14" s="217" t="s">
        <v>105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65"/>
      <c r="R14" s="165"/>
      <c r="S14" s="162"/>
    </row>
    <row r="15" spans="1:20" s="36" customFormat="1" ht="15.75" customHeight="1" thickBot="1" x14ac:dyDescent="0.35">
      <c r="A15" s="188" t="s">
        <v>125</v>
      </c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5"/>
      <c r="R15" s="165"/>
      <c r="S15" s="162"/>
    </row>
    <row r="16" spans="1:20" s="36" customFormat="1" ht="15" thickBot="1" x14ac:dyDescent="0.35">
      <c r="A16" s="188" t="s">
        <v>126</v>
      </c>
      <c r="B16" s="231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165"/>
      <c r="R16" s="165"/>
      <c r="S16" s="162"/>
    </row>
    <row r="17" spans="1:19" s="36" customFormat="1" ht="15" thickBot="1" x14ac:dyDescent="0.35">
      <c r="A17" s="188" t="s">
        <v>122</v>
      </c>
      <c r="B17" s="236">
        <v>3.9E-2</v>
      </c>
      <c r="C17" s="237"/>
      <c r="D17" s="134" t="s">
        <v>107</v>
      </c>
      <c r="E17" s="238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166"/>
      <c r="R17" s="166"/>
      <c r="S17" s="162"/>
    </row>
    <row r="18" spans="1:19" s="36" customFormat="1" ht="15" thickBot="1" x14ac:dyDescent="0.35">
      <c r="A18" s="82" t="s">
        <v>123</v>
      </c>
      <c r="B18" s="229">
        <v>0</v>
      </c>
      <c r="C18" s="230"/>
      <c r="D18" s="190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65"/>
      <c r="R18" s="165"/>
      <c r="S18" s="162"/>
    </row>
    <row r="19" spans="1:19" s="36" customFormat="1" ht="15" thickBot="1" x14ac:dyDescent="0.35">
      <c r="A19" s="82" t="s">
        <v>99</v>
      </c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165"/>
      <c r="R19" s="165"/>
      <c r="S19" s="162"/>
    </row>
    <row r="20" spans="1:19" s="36" customFormat="1" ht="19.5" customHeight="1" thickBot="1" x14ac:dyDescent="0.45">
      <c r="A20" s="82" t="s">
        <v>48</v>
      </c>
      <c r="B20" s="226" t="str">
        <f>D4</f>
        <v>Allianz</v>
      </c>
      <c r="C20" s="227"/>
      <c r="D20" s="227"/>
      <c r="E20" s="227"/>
      <c r="F20" s="220" t="s">
        <v>108</v>
      </c>
      <c r="G20" s="220"/>
      <c r="H20" s="220"/>
      <c r="I20" s="228"/>
      <c r="J20" s="135" t="s">
        <v>84</v>
      </c>
      <c r="K20" s="141">
        <f>IF(Conditions!B20="Bulstrad",25%,IF(Conditions!B20="Uniqa",25%,IF(Conditions!B20="Allianz",15%,"")))</f>
        <v>0.15</v>
      </c>
      <c r="L20" s="223" t="s">
        <v>83</v>
      </c>
      <c r="M20" s="224"/>
      <c r="N20" s="219">
        <v>0</v>
      </c>
      <c r="O20" s="220"/>
      <c r="P20" s="135"/>
      <c r="Q20" s="191"/>
      <c r="R20" s="167"/>
      <c r="S20" s="147" t="s">
        <v>100</v>
      </c>
    </row>
    <row r="21" spans="1:19" s="36" customFormat="1" ht="15" thickBot="1" x14ac:dyDescent="0.35">
      <c r="A21" s="82" t="s">
        <v>102</v>
      </c>
      <c r="B21" s="221"/>
      <c r="C21" s="222"/>
      <c r="D21" s="222"/>
      <c r="E21" s="222"/>
      <c r="F21" s="136"/>
      <c r="G21" s="136"/>
      <c r="H21" s="136"/>
      <c r="I21" s="136"/>
      <c r="J21" s="136"/>
      <c r="K21" s="136"/>
      <c r="L21" s="225" t="s">
        <v>133</v>
      </c>
      <c r="M21" s="225"/>
      <c r="N21" s="224"/>
      <c r="O21" s="201"/>
      <c r="P21" s="200"/>
      <c r="Q21" s="165"/>
      <c r="R21" s="165"/>
    </row>
    <row r="22" spans="1:19" s="36" customFormat="1" ht="15" thickBot="1" x14ac:dyDescent="0.35">
      <c r="A22" s="35" t="s">
        <v>49</v>
      </c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165"/>
      <c r="R22" s="165"/>
    </row>
    <row r="23" spans="1:19" s="36" customFormat="1" ht="15.75" customHeight="1" thickBot="1" x14ac:dyDescent="0.35">
      <c r="A23" s="188" t="s">
        <v>121</v>
      </c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165"/>
      <c r="R23" s="165"/>
    </row>
    <row r="24" spans="1:19" s="36" customFormat="1" ht="15" thickBot="1" x14ac:dyDescent="0.35">
      <c r="A24" s="35" t="s">
        <v>50</v>
      </c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165"/>
      <c r="R24" s="165"/>
    </row>
    <row r="25" spans="1:19" s="36" customFormat="1" ht="15" thickBot="1" x14ac:dyDescent="0.35">
      <c r="A25" s="35" t="s">
        <v>52</v>
      </c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165"/>
      <c r="R25" s="165"/>
    </row>
    <row r="26" spans="1:19" s="36" customFormat="1" ht="15" thickBot="1" x14ac:dyDescent="0.35">
      <c r="A26" s="35" t="s">
        <v>54</v>
      </c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165"/>
      <c r="R26" s="165"/>
    </row>
    <row r="27" spans="1:19" s="36" customFormat="1" ht="15" thickBot="1" x14ac:dyDescent="0.35">
      <c r="A27" s="35" t="s">
        <v>53</v>
      </c>
      <c r="B27" s="215">
        <f ca="1">TODAY()</f>
        <v>44788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168"/>
      <c r="R27" s="168"/>
    </row>
    <row r="28" spans="1:19" s="49" customFormat="1" ht="15" thickBot="1" x14ac:dyDescent="0.35">
      <c r="M28" s="50"/>
      <c r="N28" s="50"/>
      <c r="O28" s="50"/>
      <c r="P28" s="50"/>
      <c r="Q28" s="50"/>
      <c r="R28" s="50"/>
    </row>
    <row r="29" spans="1:19" s="49" customFormat="1" ht="15" thickBot="1" x14ac:dyDescent="0.35">
      <c r="A29" s="33" t="s">
        <v>106</v>
      </c>
      <c r="B29" s="178"/>
      <c r="C29" s="178"/>
      <c r="D29" s="179" t="s">
        <v>138</v>
      </c>
      <c r="M29" s="50"/>
      <c r="N29" s="50"/>
      <c r="O29" s="50"/>
      <c r="P29" s="50"/>
      <c r="Q29" s="50"/>
      <c r="R29" s="50"/>
    </row>
    <row r="30" spans="1:19" s="49" customFormat="1" x14ac:dyDescent="0.3">
      <c r="M30" s="50"/>
      <c r="N30" s="50"/>
      <c r="O30" s="50"/>
      <c r="P30" s="50"/>
      <c r="Q30" s="50"/>
      <c r="R30" s="50"/>
    </row>
    <row r="31" spans="1:19" s="49" customFormat="1" x14ac:dyDescent="0.3">
      <c r="M31" s="50"/>
      <c r="N31" s="50"/>
      <c r="O31" s="50"/>
      <c r="P31" s="50"/>
      <c r="Q31" s="50"/>
      <c r="R31" s="50"/>
    </row>
    <row r="32" spans="1:19" s="49" customFormat="1" x14ac:dyDescent="0.3">
      <c r="M32" s="50"/>
      <c r="N32" s="50"/>
      <c r="O32" s="50"/>
      <c r="P32" s="50"/>
      <c r="Q32" s="50"/>
      <c r="R32" s="50"/>
    </row>
    <row r="33" spans="13:22" s="49" customFormat="1" x14ac:dyDescent="0.3">
      <c r="M33" s="50"/>
      <c r="N33" s="50"/>
      <c r="O33" s="50"/>
      <c r="P33" s="50"/>
      <c r="Q33" s="50"/>
      <c r="R33" s="50"/>
    </row>
    <row r="34" spans="13:22" s="49" customFormat="1" x14ac:dyDescent="0.3">
      <c r="M34" s="50"/>
      <c r="N34" s="50"/>
      <c r="O34" s="50"/>
      <c r="P34" s="50"/>
      <c r="Q34" s="50"/>
      <c r="R34" s="50"/>
    </row>
    <row r="35" spans="13:22" s="49" customFormat="1" x14ac:dyDescent="0.3">
      <c r="M35" s="50"/>
      <c r="N35" s="50"/>
      <c r="O35" s="50"/>
      <c r="P35" s="50"/>
      <c r="Q35" s="50"/>
      <c r="R35" s="50"/>
    </row>
    <row r="36" spans="13:22" s="49" customFormat="1" x14ac:dyDescent="0.3">
      <c r="M36" s="50"/>
      <c r="N36" s="50"/>
      <c r="O36" s="50"/>
      <c r="P36" s="50"/>
      <c r="Q36" s="50"/>
      <c r="R36" s="50"/>
    </row>
    <row r="37" spans="13:22" s="49" customFormat="1" x14ac:dyDescent="0.3">
      <c r="M37" s="50"/>
      <c r="N37" s="50"/>
      <c r="O37" s="50"/>
      <c r="P37" s="50"/>
      <c r="Q37" s="50"/>
      <c r="R37" s="50"/>
    </row>
    <row r="38" spans="13:22" s="49" customFormat="1" x14ac:dyDescent="0.3">
      <c r="M38" s="50"/>
      <c r="N38" s="50"/>
      <c r="O38" s="50"/>
      <c r="P38" s="50"/>
      <c r="Q38" s="50"/>
      <c r="R38" s="50"/>
    </row>
    <row r="39" spans="13:22" s="49" customFormat="1" x14ac:dyDescent="0.3">
      <c r="M39" s="50"/>
      <c r="N39" s="50"/>
      <c r="O39" s="50"/>
      <c r="P39" s="50"/>
      <c r="Q39" s="50"/>
      <c r="R39" s="50"/>
    </row>
    <row r="40" spans="13:22" s="49" customFormat="1" x14ac:dyDescent="0.3">
      <c r="M40" s="50"/>
      <c r="N40" s="50"/>
      <c r="O40" s="50"/>
      <c r="P40" s="50"/>
      <c r="Q40" s="50"/>
      <c r="R40" s="50"/>
    </row>
    <row r="41" spans="13:22" s="49" customFormat="1" x14ac:dyDescent="0.3">
      <c r="M41" s="50"/>
      <c r="N41" s="50"/>
      <c r="O41" s="50"/>
      <c r="P41" s="50"/>
      <c r="Q41" s="50"/>
      <c r="R41" s="50"/>
    </row>
    <row r="42" spans="13:22" s="49" customFormat="1" x14ac:dyDescent="0.3">
      <c r="M42" s="50"/>
      <c r="N42" s="50"/>
      <c r="O42" s="50"/>
      <c r="P42" s="50"/>
      <c r="Q42" s="50"/>
      <c r="R42" s="50"/>
    </row>
    <row r="43" spans="13:22" s="49" customFormat="1" x14ac:dyDescent="0.3">
      <c r="M43" s="50"/>
      <c r="N43" s="50"/>
      <c r="O43" s="50"/>
      <c r="P43" s="50"/>
      <c r="Q43" s="50"/>
      <c r="R43" s="50"/>
    </row>
    <row r="44" spans="13:22" s="49" customFormat="1" x14ac:dyDescent="0.3">
      <c r="M44" s="50"/>
      <c r="N44" s="50"/>
      <c r="O44" s="50"/>
      <c r="P44" s="50"/>
      <c r="Q44" s="50"/>
      <c r="R44" s="50"/>
    </row>
    <row r="45" spans="13:22" s="49" customFormat="1" x14ac:dyDescent="0.3">
      <c r="M45" s="50"/>
      <c r="N45" s="50"/>
      <c r="O45" s="50"/>
      <c r="P45" s="50"/>
      <c r="Q45" s="50"/>
      <c r="R45" s="50"/>
    </row>
    <row r="46" spans="13:22" s="49" customFormat="1" x14ac:dyDescent="0.3">
      <c r="M46" s="50"/>
      <c r="N46" s="50"/>
      <c r="O46" s="50"/>
      <c r="P46" s="50"/>
      <c r="Q46" s="50"/>
      <c r="R46" s="50"/>
    </row>
    <row r="47" spans="13:22" s="49" customFormat="1" x14ac:dyDescent="0.3">
      <c r="M47" s="50"/>
      <c r="N47" s="50"/>
      <c r="O47" s="50"/>
      <c r="P47" s="50"/>
      <c r="Q47" s="50"/>
      <c r="R47" s="50"/>
      <c r="V47" s="84"/>
    </row>
    <row r="48" spans="13:22" s="49" customFormat="1" x14ac:dyDescent="0.3">
      <c r="M48" s="50"/>
      <c r="N48" s="50"/>
      <c r="O48" s="50"/>
      <c r="P48" s="50"/>
      <c r="Q48" s="50"/>
      <c r="R48" s="50"/>
    </row>
    <row r="49" spans="13:29" s="49" customFormat="1" x14ac:dyDescent="0.3">
      <c r="M49" s="50"/>
      <c r="N49" s="50"/>
      <c r="O49" s="50"/>
      <c r="P49" s="50"/>
      <c r="Q49" s="50"/>
      <c r="R49" s="50"/>
      <c r="S49" s="84" t="s">
        <v>58</v>
      </c>
      <c r="T49" s="86"/>
      <c r="U49" s="84"/>
      <c r="V49" s="84"/>
      <c r="W49" s="84" t="s">
        <v>59</v>
      </c>
      <c r="X49" s="84"/>
      <c r="Y49" s="84"/>
      <c r="Z49" s="84"/>
      <c r="AA49" s="84"/>
      <c r="AB49" s="84" t="s">
        <v>56</v>
      </c>
      <c r="AC49" s="83"/>
    </row>
    <row r="50" spans="13:29" s="49" customFormat="1" x14ac:dyDescent="0.3">
      <c r="M50" s="50"/>
      <c r="N50" s="50"/>
      <c r="O50" s="50"/>
      <c r="P50" s="50"/>
      <c r="Q50" s="50"/>
      <c r="R50" s="50"/>
      <c r="S50" t="s">
        <v>64</v>
      </c>
      <c r="T50" s="86">
        <v>112.69895645327047</v>
      </c>
      <c r="U50" s="83"/>
      <c r="V50" s="83"/>
      <c r="W50" t="s">
        <v>62</v>
      </c>
      <c r="X50" s="87">
        <v>143.54008272702637</v>
      </c>
      <c r="Y50" s="87"/>
      <c r="Z50" s="83"/>
      <c r="AA50" s="83"/>
      <c r="AB50" t="s">
        <v>62</v>
      </c>
      <c r="AC50" s="88">
        <v>111.97463953369466</v>
      </c>
    </row>
    <row r="51" spans="13:29" s="49" customFormat="1" x14ac:dyDescent="0.3">
      <c r="M51" s="50"/>
      <c r="N51" s="50"/>
      <c r="O51" s="50"/>
      <c r="P51" s="50"/>
      <c r="Q51" s="50"/>
      <c r="R51" s="50"/>
      <c r="S51" t="s">
        <v>66</v>
      </c>
      <c r="T51" s="86">
        <v>112.69895645327047</v>
      </c>
      <c r="U51" s="83"/>
      <c r="V51" s="83"/>
      <c r="W51" t="s">
        <v>63</v>
      </c>
      <c r="X51" s="87">
        <v>143.54008272702637</v>
      </c>
      <c r="Y51" s="87"/>
      <c r="Z51" s="83"/>
      <c r="AA51" s="83"/>
      <c r="AB51" t="s">
        <v>74</v>
      </c>
      <c r="AC51" s="88">
        <v>118.62153594437059</v>
      </c>
    </row>
    <row r="52" spans="13:29" s="49" customFormat="1" x14ac:dyDescent="0.3">
      <c r="M52" s="50"/>
      <c r="N52" s="50"/>
      <c r="O52" s="50"/>
      <c r="P52" s="50"/>
      <c r="Q52" s="50"/>
      <c r="R52" s="50"/>
      <c r="S52" t="s">
        <v>63</v>
      </c>
      <c r="T52" s="86">
        <v>116.46206469887466</v>
      </c>
      <c r="U52" s="83"/>
      <c r="V52" s="83"/>
      <c r="W52" t="s">
        <v>65</v>
      </c>
      <c r="X52" s="87">
        <v>153.97043710342922</v>
      </c>
      <c r="Y52" s="87"/>
      <c r="Z52" s="83"/>
      <c r="AA52" s="83"/>
      <c r="AB52" t="s">
        <v>67</v>
      </c>
      <c r="AC52" s="88">
        <v>119.64413539216689</v>
      </c>
    </row>
    <row r="53" spans="13:29" s="49" customFormat="1" x14ac:dyDescent="0.3">
      <c r="M53" s="50"/>
      <c r="N53" s="50"/>
      <c r="O53" s="50"/>
      <c r="P53" s="50"/>
      <c r="Q53" s="50"/>
      <c r="R53" s="50"/>
      <c r="S53" t="s">
        <v>65</v>
      </c>
      <c r="T53" s="86">
        <v>116.61545226323352</v>
      </c>
      <c r="U53" s="83"/>
      <c r="V53" s="83"/>
      <c r="W53" t="s">
        <v>67</v>
      </c>
      <c r="X53" s="87">
        <v>153.97043710342922</v>
      </c>
      <c r="Y53" s="87"/>
      <c r="Z53" s="83"/>
      <c r="AA53" s="83"/>
      <c r="AB53" t="s">
        <v>68</v>
      </c>
      <c r="AC53" s="88">
        <v>125.26843235504653</v>
      </c>
    </row>
    <row r="54" spans="13:29" s="49" customFormat="1" x14ac:dyDescent="0.3">
      <c r="M54" s="50"/>
      <c r="N54" s="50"/>
      <c r="O54" s="50"/>
      <c r="P54" s="50"/>
      <c r="Q54" s="50"/>
      <c r="R54" s="50"/>
      <c r="S54" t="s">
        <v>67</v>
      </c>
      <c r="T54" s="86">
        <v>120.53706099200851</v>
      </c>
      <c r="U54" s="83"/>
      <c r="V54" s="83"/>
      <c r="W54" t="s">
        <v>68</v>
      </c>
      <c r="X54" s="87">
        <v>153.97043710342922</v>
      </c>
      <c r="Y54" s="87"/>
      <c r="Z54" s="83"/>
      <c r="AA54" s="83"/>
      <c r="AB54" t="s">
        <v>69</v>
      </c>
      <c r="AC54" s="88">
        <v>141.11872379588914</v>
      </c>
    </row>
    <row r="55" spans="13:29" s="49" customFormat="1" x14ac:dyDescent="0.3">
      <c r="M55" s="50"/>
      <c r="N55" s="50"/>
      <c r="O55" s="50"/>
      <c r="P55" s="50"/>
      <c r="Q55" s="50"/>
      <c r="R55" s="50"/>
      <c r="S55" t="s">
        <v>68</v>
      </c>
      <c r="T55" s="86">
        <v>127.0560324772603</v>
      </c>
      <c r="U55" s="83"/>
      <c r="V55" s="83"/>
      <c r="W55" t="s">
        <v>69</v>
      </c>
      <c r="X55" s="87">
        <v>175.87418129387524</v>
      </c>
      <c r="Y55" s="87"/>
      <c r="Z55" s="83"/>
      <c r="AA55" s="83"/>
      <c r="AB55" t="s">
        <v>70</v>
      </c>
      <c r="AC55" s="88">
        <v>152.87861744554658</v>
      </c>
    </row>
    <row r="56" spans="13:29" s="49" customFormat="1" x14ac:dyDescent="0.3">
      <c r="M56" s="50"/>
      <c r="N56" s="50"/>
      <c r="O56" s="50"/>
      <c r="P56" s="50"/>
      <c r="Q56" s="50"/>
      <c r="R56" s="50"/>
      <c r="S56" t="s">
        <v>69</v>
      </c>
      <c r="T56" s="86">
        <v>155.99515295296627</v>
      </c>
      <c r="U56" s="83"/>
      <c r="V56" s="83"/>
      <c r="W56" t="s">
        <v>70</v>
      </c>
      <c r="X56" s="87">
        <v>189.95515970201907</v>
      </c>
      <c r="Y56" s="87"/>
      <c r="Z56" s="83"/>
      <c r="AA56" s="83"/>
      <c r="AB56" t="s">
        <v>75</v>
      </c>
      <c r="AC56" s="89">
        <v>135.4944268330095</v>
      </c>
    </row>
    <row r="57" spans="13:29" s="49" customFormat="1" x14ac:dyDescent="0.3">
      <c r="M57" s="50"/>
      <c r="N57" s="50"/>
      <c r="O57" s="50"/>
      <c r="P57" s="50"/>
      <c r="Q57" s="50"/>
      <c r="R57" s="50"/>
      <c r="S57" t="s">
        <v>70</v>
      </c>
      <c r="T57" s="86">
        <v>164.87118001053261</v>
      </c>
      <c r="U57" s="83"/>
      <c r="V57" s="83"/>
      <c r="W57" t="s">
        <v>71</v>
      </c>
      <c r="X57" s="87">
        <v>212.90193933010536</v>
      </c>
      <c r="Y57" s="87"/>
      <c r="Z57" s="83"/>
      <c r="AA57" s="83"/>
      <c r="AB57" t="s">
        <v>73</v>
      </c>
      <c r="AC57" s="88">
        <v>156.96901523673176</v>
      </c>
    </row>
    <row r="58" spans="13:29" s="49" customFormat="1" x14ac:dyDescent="0.3">
      <c r="M58" s="50"/>
      <c r="N58" s="50"/>
      <c r="O58" s="50"/>
      <c r="P58" s="50"/>
      <c r="Q58" s="50"/>
      <c r="R58" s="50"/>
      <c r="S58" t="s">
        <v>72</v>
      </c>
      <c r="T58" s="86">
        <v>139.88945869528538</v>
      </c>
      <c r="U58" s="83"/>
      <c r="V58" s="83"/>
      <c r="W58"/>
      <c r="X58" s="85"/>
      <c r="Y58" s="85"/>
      <c r="Z58" s="83"/>
      <c r="AA58" s="83"/>
      <c r="AB58"/>
      <c r="AC58" s="85"/>
    </row>
    <row r="59" spans="13:29" s="49" customFormat="1" x14ac:dyDescent="0.3">
      <c r="M59" s="50"/>
      <c r="N59" s="50"/>
      <c r="O59" s="50"/>
      <c r="P59" s="50"/>
      <c r="Q59" s="50"/>
      <c r="R59" s="50"/>
      <c r="S59" t="s">
        <v>73</v>
      </c>
      <c r="T59" s="49">
        <v>165.96534463629254</v>
      </c>
      <c r="U59" s="83"/>
      <c r="V59" s="83"/>
      <c r="W59" s="83"/>
      <c r="X59" s="83"/>
      <c r="Y59" s="83"/>
      <c r="Z59" s="83"/>
      <c r="AA59" s="83"/>
      <c r="AB59" s="83"/>
      <c r="AC59" s="83"/>
    </row>
    <row r="60" spans="13:29" s="49" customFormat="1" x14ac:dyDescent="0.3">
      <c r="M60" s="50"/>
      <c r="N60" s="50"/>
      <c r="O60" s="50"/>
      <c r="P60" s="50"/>
      <c r="Q60" s="50"/>
      <c r="R60" s="50"/>
    </row>
    <row r="61" spans="13:29" s="49" customFormat="1" x14ac:dyDescent="0.3">
      <c r="M61" s="50"/>
      <c r="N61" s="50"/>
      <c r="O61" s="50"/>
      <c r="P61" s="50"/>
      <c r="Q61" s="50"/>
      <c r="R61" s="50"/>
    </row>
    <row r="62" spans="13:29" s="49" customFormat="1" x14ac:dyDescent="0.3">
      <c r="M62" s="50"/>
      <c r="N62" s="50"/>
      <c r="O62" s="50"/>
      <c r="P62" s="50"/>
      <c r="Q62" s="50"/>
      <c r="R62" s="50"/>
      <c r="S62" s="49" t="str">
        <f>IF(Conditions!$D$4="Bulstrad",S50,IF(Conditions!$D$4="Allianz",W50,IF(Conditions!$D$4="Uniqa",AB50,"")))</f>
        <v>up to 1300</v>
      </c>
      <c r="Z62" s="49" t="s">
        <v>86</v>
      </c>
    </row>
    <row r="63" spans="13:29" s="49" customFormat="1" x14ac:dyDescent="0.3">
      <c r="M63" s="50"/>
      <c r="N63" s="50"/>
      <c r="O63" s="50"/>
      <c r="P63" s="50"/>
      <c r="Q63" s="50"/>
      <c r="R63" s="50"/>
      <c r="S63" s="49" t="str">
        <f>IF(Conditions!$B$20="Bulstrad",S51,IF(Conditions!$B$20="Allianz",W51,IF(Conditions!$B$20="Uniqa",AB51,"")))</f>
        <v>from 1300 to 1500</v>
      </c>
    </row>
    <row r="64" spans="13:29" s="49" customFormat="1" x14ac:dyDescent="0.3">
      <c r="M64" s="50"/>
      <c r="N64" s="50"/>
      <c r="O64" s="50"/>
      <c r="P64" s="50"/>
      <c r="Q64" s="50"/>
      <c r="R64" s="50"/>
      <c r="S64" s="49" t="str">
        <f>IF(Conditions!$B$20="Bulstrad",S52,IF(Conditions!$B$20="Allianz",W52,IF(Conditions!$B$20="Uniqa",AB52,"")))</f>
        <v>from 1500 to 1600</v>
      </c>
    </row>
    <row r="65" spans="13:19" s="49" customFormat="1" x14ac:dyDescent="0.3">
      <c r="M65" s="50"/>
      <c r="N65" s="50"/>
      <c r="O65" s="50"/>
      <c r="P65" s="50"/>
      <c r="Q65" s="50"/>
      <c r="R65" s="50"/>
      <c r="S65" s="49" t="str">
        <f>IF(Conditions!$B$20="Bulstrad",S53,IF(Conditions!$B$20="Allianz",W53,IF(Conditions!$B$20="Uniqa",AB53,"")))</f>
        <v>from 1600 to 1800</v>
      </c>
    </row>
    <row r="66" spans="13:19" s="49" customFormat="1" x14ac:dyDescent="0.3">
      <c r="M66" s="50"/>
      <c r="N66" s="50"/>
      <c r="O66" s="50"/>
      <c r="P66" s="50"/>
      <c r="Q66" s="50"/>
      <c r="R66" s="50"/>
      <c r="S66" s="49" t="str">
        <f>IF(Conditions!$B$20="Bulstrad",S54,IF(Conditions!$B$20="Allianz",W54,IF(Conditions!$B$20="Uniqa",AB54,"")))</f>
        <v>from 1800 to 2000</v>
      </c>
    </row>
    <row r="67" spans="13:19" s="49" customFormat="1" x14ac:dyDescent="0.3">
      <c r="M67" s="50"/>
      <c r="N67" s="50"/>
      <c r="O67" s="50"/>
      <c r="P67" s="50"/>
      <c r="Q67" s="50"/>
      <c r="R67" s="50"/>
      <c r="S67" s="49" t="str">
        <f>IF(Conditions!$B$20="Bulstrad",S55,IF(Conditions!$B$20="Allianz",W55,IF(Conditions!$B$20="Uniqa",AB55,"")))</f>
        <v>from 2000 to 2500</v>
      </c>
    </row>
    <row r="68" spans="13:19" s="49" customFormat="1" x14ac:dyDescent="0.3">
      <c r="M68" s="50"/>
      <c r="N68" s="50"/>
      <c r="O68" s="50"/>
      <c r="P68" s="50"/>
      <c r="Q68" s="50"/>
      <c r="R68" s="50"/>
      <c r="S68" s="49" t="str">
        <f>IF(Conditions!$B$20="Bulstrad",S56,IF(Conditions!$B$20="Allianz",W56,IF(Conditions!$B$20="Uniqa",AB56,"")))</f>
        <v>over 2500</v>
      </c>
    </row>
    <row r="69" spans="13:19" s="49" customFormat="1" x14ac:dyDescent="0.3">
      <c r="M69" s="50"/>
      <c r="N69" s="50"/>
      <c r="O69" s="50"/>
      <c r="P69" s="50"/>
      <c r="Q69" s="50"/>
      <c r="R69" s="50"/>
      <c r="S69" s="49" t="str">
        <f>IF(Conditions!$B$20="Bulstrad",S57,IF(Conditions!$B$20="Allianz",W57,IF(Conditions!$B$20="Uniqa",AB57,"")))</f>
        <v>Cargo from 2,8 to 3,5 t.</v>
      </c>
    </row>
    <row r="70" spans="13:19" s="49" customFormat="1" x14ac:dyDescent="0.3">
      <c r="M70" s="50"/>
      <c r="N70" s="50"/>
      <c r="O70" s="50"/>
      <c r="P70" s="50"/>
      <c r="Q70" s="50"/>
      <c r="R70" s="50"/>
      <c r="S70" s="49">
        <f>IF(Conditions!$B$20="Bulstrad",S58,IF(Conditions!$B$20="Allianz",W58,IF(Conditions!$B$20="Uniqa",AB58,"")))</f>
        <v>0</v>
      </c>
    </row>
    <row r="71" spans="13:19" s="49" customFormat="1" x14ac:dyDescent="0.3">
      <c r="M71" s="50"/>
      <c r="N71" s="50"/>
      <c r="O71" s="50"/>
      <c r="P71" s="50"/>
      <c r="Q71" s="50"/>
      <c r="R71" s="50"/>
      <c r="S71" s="49">
        <f>IF(Conditions!$B$20="Bulstrad",S59,IF(Conditions!$B$20="Allianz",W59,IF(Conditions!$B$20="Uniqa",AB59,"")))</f>
        <v>0</v>
      </c>
    </row>
    <row r="72" spans="13:19" s="49" customFormat="1" x14ac:dyDescent="0.3">
      <c r="M72" s="50"/>
      <c r="N72" s="50"/>
      <c r="O72" s="50"/>
      <c r="P72" s="50"/>
      <c r="Q72" s="50"/>
      <c r="R72" s="50"/>
    </row>
    <row r="73" spans="13:19" s="49" customFormat="1" x14ac:dyDescent="0.3">
      <c r="M73" s="50"/>
      <c r="N73" s="50"/>
      <c r="O73" s="50"/>
      <c r="P73" s="50"/>
      <c r="Q73" s="50"/>
      <c r="R73" s="50"/>
    </row>
    <row r="74" spans="13:19" s="49" customFormat="1" x14ac:dyDescent="0.3">
      <c r="M74" s="50"/>
      <c r="N74" s="50"/>
      <c r="O74" s="50"/>
      <c r="P74" s="50"/>
      <c r="Q74" s="50"/>
      <c r="R74" s="50"/>
    </row>
    <row r="75" spans="13:19" s="49" customFormat="1" x14ac:dyDescent="0.3">
      <c r="M75" s="50"/>
      <c r="N75" s="50"/>
      <c r="O75" s="50"/>
      <c r="P75" s="50"/>
      <c r="Q75" s="50"/>
      <c r="R75" s="50"/>
    </row>
    <row r="76" spans="13:19" s="49" customFormat="1" x14ac:dyDescent="0.3">
      <c r="M76" s="50"/>
      <c r="N76" s="50"/>
      <c r="O76" s="50"/>
      <c r="P76" s="50"/>
      <c r="Q76" s="50"/>
      <c r="R76" s="50"/>
    </row>
    <row r="77" spans="13:19" s="49" customFormat="1" x14ac:dyDescent="0.3">
      <c r="M77" s="50"/>
      <c r="N77" s="50"/>
      <c r="O77" s="50"/>
      <c r="P77" s="50"/>
      <c r="Q77" s="50"/>
      <c r="R77" s="50"/>
    </row>
    <row r="78" spans="13:19" s="49" customFormat="1" x14ac:dyDescent="0.3">
      <c r="M78" s="50"/>
      <c r="N78" s="50"/>
      <c r="O78" s="50"/>
      <c r="P78" s="50"/>
      <c r="Q78" s="50"/>
      <c r="R78" s="50"/>
    </row>
    <row r="79" spans="13:19" s="49" customFormat="1" x14ac:dyDescent="0.3">
      <c r="M79" s="50"/>
      <c r="N79" s="50"/>
      <c r="O79" s="50"/>
      <c r="P79" s="50"/>
      <c r="Q79" s="50"/>
      <c r="R79" s="50"/>
    </row>
    <row r="80" spans="13:19" s="49" customFormat="1" x14ac:dyDescent="0.3">
      <c r="M80" s="50"/>
      <c r="N80" s="50"/>
      <c r="O80" s="50"/>
      <c r="P80" s="50"/>
      <c r="Q80" s="50"/>
      <c r="R80" s="50"/>
    </row>
    <row r="81" spans="13:22" s="49" customFormat="1" x14ac:dyDescent="0.3">
      <c r="M81" s="50"/>
      <c r="N81" s="50"/>
      <c r="O81" s="50"/>
      <c r="P81" s="50"/>
      <c r="Q81" s="50"/>
      <c r="R81" s="50"/>
    </row>
    <row r="82" spans="13:22" s="49" customFormat="1" x14ac:dyDescent="0.3">
      <c r="M82" s="50"/>
      <c r="N82" s="50"/>
      <c r="O82" s="50"/>
      <c r="P82" s="50"/>
      <c r="Q82" s="50"/>
      <c r="R82" s="50"/>
    </row>
    <row r="83" spans="13:22" s="49" customFormat="1" x14ac:dyDescent="0.3">
      <c r="M83" s="50"/>
      <c r="N83" s="50"/>
      <c r="O83" s="50"/>
      <c r="P83" s="50"/>
      <c r="Q83" s="50"/>
      <c r="R83" s="50"/>
    </row>
    <row r="84" spans="13:22" s="49" customFormat="1" x14ac:dyDescent="0.3">
      <c r="M84" s="50"/>
      <c r="N84" s="50"/>
      <c r="O84" s="50"/>
      <c r="P84" s="50"/>
      <c r="Q84" s="50"/>
      <c r="R84" s="50"/>
    </row>
    <row r="85" spans="13:22" s="49" customFormat="1" x14ac:dyDescent="0.3">
      <c r="M85" s="50"/>
      <c r="N85" s="50"/>
      <c r="O85" s="50"/>
      <c r="P85" s="50"/>
      <c r="Q85" s="50"/>
      <c r="R85" s="50"/>
    </row>
    <row r="86" spans="13:22" s="49" customFormat="1" x14ac:dyDescent="0.3">
      <c r="M86" s="50"/>
      <c r="N86" s="50"/>
      <c r="O86" s="50"/>
      <c r="P86" s="50"/>
      <c r="Q86" s="50"/>
      <c r="R86" s="50"/>
    </row>
    <row r="87" spans="13:22" s="49" customFormat="1" x14ac:dyDescent="0.3">
      <c r="M87" s="50"/>
      <c r="N87" s="50"/>
      <c r="O87" s="50"/>
      <c r="P87" s="50"/>
      <c r="Q87" s="50"/>
      <c r="R87" s="50"/>
    </row>
    <row r="88" spans="13:22" s="49" customFormat="1" x14ac:dyDescent="0.3">
      <c r="M88" s="50"/>
      <c r="N88" s="50"/>
      <c r="O88" s="50"/>
      <c r="P88" s="50"/>
      <c r="Q88" s="50"/>
      <c r="R88" s="50"/>
    </row>
    <row r="89" spans="13:22" s="49" customFormat="1" x14ac:dyDescent="0.3">
      <c r="M89" s="50"/>
      <c r="N89" s="50"/>
      <c r="O89" s="50"/>
      <c r="P89" s="50"/>
      <c r="Q89" s="50"/>
      <c r="R89" s="50"/>
    </row>
    <row r="90" spans="13:22" s="49" customFormat="1" x14ac:dyDescent="0.3">
      <c r="M90" s="50"/>
      <c r="N90" s="50"/>
      <c r="O90" s="50"/>
      <c r="P90" s="50"/>
      <c r="Q90" s="50"/>
      <c r="R90" s="50"/>
    </row>
    <row r="91" spans="13:22" s="49" customFormat="1" x14ac:dyDescent="0.3">
      <c r="M91" s="50"/>
      <c r="N91" s="50"/>
      <c r="O91" s="50"/>
      <c r="P91" s="50"/>
      <c r="Q91" s="50"/>
      <c r="R91" s="50"/>
    </row>
    <row r="92" spans="13:22" s="49" customFormat="1" x14ac:dyDescent="0.3">
      <c r="M92" s="50"/>
      <c r="N92" s="50"/>
      <c r="O92" s="50"/>
      <c r="P92" s="50"/>
      <c r="Q92" s="50"/>
      <c r="R92" s="50"/>
    </row>
    <row r="93" spans="13:22" s="49" customFormat="1" x14ac:dyDescent="0.3">
      <c r="M93" s="50"/>
      <c r="N93" s="50"/>
      <c r="O93" s="50"/>
      <c r="P93" s="50"/>
      <c r="Q93" s="50"/>
      <c r="R93" s="50"/>
      <c r="V93"/>
    </row>
  </sheetData>
  <mergeCells count="26">
    <mergeCell ref="A2:C2"/>
    <mergeCell ref="J2:L2"/>
    <mergeCell ref="B17:C17"/>
    <mergeCell ref="E17:P17"/>
    <mergeCell ref="A1:R1"/>
    <mergeCell ref="D2:F2"/>
    <mergeCell ref="M2:R2"/>
    <mergeCell ref="G2:I2"/>
    <mergeCell ref="B14:P14"/>
    <mergeCell ref="B13:P13"/>
    <mergeCell ref="B18:C18"/>
    <mergeCell ref="B25:P25"/>
    <mergeCell ref="B15:P15"/>
    <mergeCell ref="B16:P16"/>
    <mergeCell ref="B26:P26"/>
    <mergeCell ref="B27:P27"/>
    <mergeCell ref="B19:P19"/>
    <mergeCell ref="B22:P22"/>
    <mergeCell ref="B24:P24"/>
    <mergeCell ref="N20:O20"/>
    <mergeCell ref="B23:P23"/>
    <mergeCell ref="B21:E21"/>
    <mergeCell ref="L20:M20"/>
    <mergeCell ref="L21:N21"/>
    <mergeCell ref="B20:E20"/>
    <mergeCell ref="F20:I20"/>
  </mergeCells>
  <dataValidations count="7">
    <dataValidation type="list" allowBlank="1" showInputMessage="1" showErrorMessage="1" sqref="F4:F12" xr:uid="{00000000-0002-0000-0000-000000000000}">
      <formula1>"N1,M1"</formula1>
    </dataValidation>
    <dataValidation type="list" allowBlank="1" showInputMessage="1" showErrorMessage="1" sqref="E4:E12" xr:uid="{00000000-0002-0000-0000-000001000000}">
      <formula1>$S$62:$S$71</formula1>
    </dataValidation>
    <dataValidation type="list" allowBlank="1" showInputMessage="1" showErrorMessage="1" sqref="D4:D12" xr:uid="{00000000-0002-0000-0000-000002000000}">
      <formula1>"Bulstrad, Allianz, Uniqa"</formula1>
    </dataValidation>
    <dataValidation type="list" allowBlank="1" showInputMessage="1" showErrorMessage="1" sqref="D17" xr:uid="{00000000-0002-0000-0000-000003000000}">
      <formula1>"variable, fixed"</formula1>
    </dataValidation>
    <dataValidation type="list" allowBlank="1" showInputMessage="1" showErrorMessage="1" sqref="F20:I20" xr:uid="{00000000-0002-0000-0000-000004000000}">
      <formula1>"With depreciation, without depreciation"</formula1>
    </dataValidation>
    <dataValidation type="list" allowBlank="1" showInputMessage="1" showErrorMessage="1" sqref="S50:S59" xr:uid="{00000000-0002-0000-0000-000005000000}">
      <formula1>$B$5:$B$13</formula1>
    </dataValidation>
    <dataValidation type="list" allowBlank="1" showInputMessage="1" showErrorMessage="1" sqref="D29" xr:uid="{00000000-0002-0000-0000-000006000000}">
      <formula1>"BG, ENG"</formula1>
    </dataValidation>
  </dataValidations>
  <pageMargins left="0.43307086614173229" right="0.23622047244094491" top="0.74803149606299213" bottom="0.74803149606299213" header="0.31496062992125984" footer="0.31496062992125984"/>
  <pageSetup paperSize="9" scale="60" orientation="landscape" r:id="rId1"/>
  <headerFooter>
    <oddFooter>&amp;C&amp;1#&amp;"Arial"&amp;8&amp;K001753Internal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4"/>
  <sheetViews>
    <sheetView workbookViewId="0">
      <selection activeCell="N3" sqref="N3"/>
    </sheetView>
  </sheetViews>
  <sheetFormatPr defaultColWidth="9.109375" defaultRowHeight="14.4" x14ac:dyDescent="0.3"/>
  <cols>
    <col min="1" max="1" width="31.6640625" style="54" customWidth="1"/>
    <col min="2" max="2" width="6.88671875" style="54" customWidth="1"/>
    <col min="3" max="3" width="5.44140625" style="54" customWidth="1"/>
    <col min="4" max="4" width="7.5546875" style="75" bestFit="1" customWidth="1"/>
    <col min="5" max="5" width="7.6640625" style="75" bestFit="1" customWidth="1"/>
    <col min="6" max="7" width="8.6640625" style="54" customWidth="1"/>
    <col min="8" max="8" width="9.6640625" style="75" customWidth="1"/>
    <col min="9" max="10" width="11.6640625" style="75" customWidth="1"/>
    <col min="11" max="11" width="9.5546875" style="75" customWidth="1"/>
    <col min="12" max="16" width="9.109375" style="54"/>
    <col min="17" max="17" width="10" style="54" customWidth="1"/>
    <col min="18" max="20" width="9.109375" style="54"/>
    <col min="21" max="21" width="2.5546875" style="54" customWidth="1"/>
    <col min="22" max="22" width="14.6640625" style="54" customWidth="1"/>
    <col min="23" max="27" width="11.6640625" style="54" customWidth="1"/>
    <col min="28" max="28" width="11.109375" style="54" bestFit="1" customWidth="1"/>
    <col min="29" max="16384" width="9.109375" style="54"/>
  </cols>
  <sheetData>
    <row r="1" spans="1:28" ht="16.5" customHeight="1" thickBot="1" x14ac:dyDescent="0.35">
      <c r="A1" s="53"/>
      <c r="B1" s="249" t="s">
        <v>28</v>
      </c>
      <c r="C1" s="250"/>
      <c r="D1" s="250"/>
      <c r="E1" s="250"/>
      <c r="F1" s="250"/>
      <c r="G1" s="250"/>
      <c r="H1" s="250"/>
      <c r="I1" s="250"/>
      <c r="J1" s="250"/>
      <c r="K1" s="251"/>
      <c r="L1" s="246" t="s">
        <v>27</v>
      </c>
      <c r="M1" s="247"/>
      <c r="N1" s="247"/>
      <c r="O1" s="247"/>
      <c r="P1" s="247"/>
      <c r="Q1" s="247"/>
      <c r="R1" s="247"/>
      <c r="S1" s="247"/>
      <c r="T1" s="248"/>
      <c r="U1" s="81"/>
      <c r="V1" s="98" t="s">
        <v>85</v>
      </c>
      <c r="W1" s="99">
        <f>IF(Conditions!B20="Bulstrad",data!B30,IF(Conditions!B20="Uniqa",data!K30,IF(Conditions!B20="Allianz",data!F30,"")))*1.02</f>
        <v>4.233E-2</v>
      </c>
      <c r="X1" s="99">
        <f>IF(Conditions!B20="Bulstrad",data!B31,IF(Conditions!B20="Uniqa",data!K31,IF(Conditions!B20="Allianz",data!F31,"")))*1.02</f>
        <v>4.6920000000000003E-2</v>
      </c>
      <c r="Y1" s="99">
        <f>IF(Conditions!B20="Bulstrad",data!B32,IF(Conditions!B20="Uniqa",data!K32,IF(Conditions!B20="Allianz",data!F32,"")))*1.02</f>
        <v>4.6920000000000003E-2</v>
      </c>
      <c r="Z1" s="99">
        <f>IF(Conditions!B20="Bulstrad",data!B33,IF(Conditions!B20="Uniqa",data!K33,IF(Conditions!B20="Allianz",data!F33,"")))*1.02</f>
        <v>4.6920000000000003E-2</v>
      </c>
      <c r="AA1" s="100">
        <f>IF(Conditions!B20="Bulstrad",data!B34,IF(Conditions!B20="Uniqa",data!K34,IF(Conditions!B20="Allianz",data!F34,"")))*1.02</f>
        <v>6.7320000000000005E-2</v>
      </c>
    </row>
    <row r="2" spans="1:28" ht="51.6" thickBot="1" x14ac:dyDescent="0.35">
      <c r="A2" s="53" t="s">
        <v>6</v>
      </c>
      <c r="B2" s="55" t="s">
        <v>31</v>
      </c>
      <c r="C2" s="55" t="s">
        <v>35</v>
      </c>
      <c r="D2" s="76" t="s">
        <v>129</v>
      </c>
      <c r="E2" s="76" t="s">
        <v>130</v>
      </c>
      <c r="F2" s="56" t="s">
        <v>29</v>
      </c>
      <c r="G2" s="56" t="s">
        <v>30</v>
      </c>
      <c r="H2" s="71" t="s">
        <v>128</v>
      </c>
      <c r="I2" s="71" t="s">
        <v>33</v>
      </c>
      <c r="J2" s="71" t="s">
        <v>34</v>
      </c>
      <c r="K2" s="79" t="s">
        <v>132</v>
      </c>
      <c r="L2" s="137" t="s">
        <v>38</v>
      </c>
      <c r="M2" s="137" t="s">
        <v>8</v>
      </c>
      <c r="N2" s="137" t="s">
        <v>9</v>
      </c>
      <c r="O2" s="137" t="s">
        <v>7</v>
      </c>
      <c r="P2" s="137" t="s">
        <v>11</v>
      </c>
      <c r="Q2" s="137" t="s">
        <v>10</v>
      </c>
      <c r="R2" s="137" t="s">
        <v>12</v>
      </c>
      <c r="S2" s="58" t="s">
        <v>26</v>
      </c>
      <c r="T2" s="57" t="s">
        <v>13</v>
      </c>
      <c r="U2" s="81"/>
      <c r="V2" s="98" t="str">
        <f>Conditions!F20</f>
        <v>With depreciation</v>
      </c>
      <c r="W2" s="101">
        <f>IF(V2="with depreciation",data!B36,100%)</f>
        <v>1</v>
      </c>
      <c r="X2" s="101">
        <f>IF(V2="with depreciation",data!B37,100%)</f>
        <v>0.85</v>
      </c>
      <c r="Y2" s="101">
        <f>IF(V2="with depreciation",data!B38,100%)</f>
        <v>0.8075</v>
      </c>
      <c r="Z2" s="101">
        <f>IF(V2="with depreciation",data!B39,100%)</f>
        <v>0.7671</v>
      </c>
      <c r="AA2" s="102">
        <f>IF(V2="with depreciation",data!B40,100%)</f>
        <v>0.72870000000000001</v>
      </c>
    </row>
    <row r="3" spans="1:28" ht="15" thickBot="1" x14ac:dyDescent="0.35">
      <c r="A3" s="59" t="str">
        <f>Conditions!A4</f>
        <v>Caravelle Trendline L TDI</v>
      </c>
      <c r="B3" s="148" t="str">
        <f>Conditions!B4</f>
        <v>TDI</v>
      </c>
      <c r="C3" s="149">
        <f>Conditions!C4</f>
        <v>81</v>
      </c>
      <c r="D3" s="150">
        <f>Conditions!H4</f>
        <v>48</v>
      </c>
      <c r="E3" s="150">
        <f>Conditions!I4</f>
        <v>50000</v>
      </c>
      <c r="F3" s="151">
        <f>Conditions!$B$17</f>
        <v>3.9E-2</v>
      </c>
      <c r="G3" s="152" t="str">
        <f>Conditions!$D$17</f>
        <v>variable</v>
      </c>
      <c r="H3" s="153">
        <f>Conditions!P4</f>
        <v>0</v>
      </c>
      <c r="I3" s="154">
        <f>Conditions!L4/1.2/1.95583</f>
        <v>37960.013566277921</v>
      </c>
      <c r="J3" s="154">
        <f>I3*1.2</f>
        <v>45552.016279533505</v>
      </c>
      <c r="K3" s="80">
        <f>PMT(F3/12,D3,-I3,H3*I3)</f>
        <v>855.40361070709241</v>
      </c>
      <c r="L3" s="142" t="str">
        <f>Conditions!$B$20</f>
        <v>Allianz</v>
      </c>
      <c r="M3" s="142">
        <f>V3</f>
        <v>1777.5789732931801</v>
      </c>
      <c r="N3" s="142" t="e">
        <f>IF(Conditions!$D4="Bulstrad",VLOOKUP(Conditions!$E4,data!$B$5:$C$14,2,0),IF(Conditions!$D4="Uniqa",VLOOKUP(Conditions!$E4,data!$K$5:$L$12,2,0),IF(Conditions!$D4="Allianz",VLOOKUP(Conditions!$E4,data!$F$5:$G$12,2,0),"")))/1.95583*1.05</f>
        <v>#N/A</v>
      </c>
      <c r="O3" s="180">
        <f>IF(C3&lt;=55,C3*0.136,(IF(C3&lt;=74,C3*0.216,IF(C3&lt;=110,C3*0.44,IF(C3&lt;=150,C3*0.492,IF(C3&lt;=245,C3*0.64,IF(C3&gt;=246,C3*0.84,)))))))*2.3/1.95583</f>
        <v>41.911618085416421</v>
      </c>
      <c r="P3" s="139">
        <v>0</v>
      </c>
      <c r="Q3" s="139">
        <v>126</v>
      </c>
      <c r="R3" s="143">
        <f>Conditions!$B$18*I3</f>
        <v>0</v>
      </c>
      <c r="S3" s="64" t="e">
        <f>M3/12+N3/12+O3/12+P3/D3+Q3/D3+R3/D3</f>
        <v>#N/A</v>
      </c>
      <c r="T3" s="65" t="e">
        <f>(S3/I3)</f>
        <v>#N/A</v>
      </c>
      <c r="U3" s="96"/>
      <c r="V3" s="103">
        <f>SUM(W3:AA3)/(D3/12)</f>
        <v>1777.5789732931801</v>
      </c>
      <c r="W3" s="104">
        <f>IF(12&lt;=D3,$J3*W$2*W$1*(1-(Conditions!$K$20*Conditions!$N$20)),"")</f>
        <v>1928.2168491126533</v>
      </c>
      <c r="X3" s="104">
        <f>IF(24&lt;=D3,$J3*X$2*X$1*(1-(Conditions!$K$20*Conditions!$N$20)),"")</f>
        <v>1816.7055132603552</v>
      </c>
      <c r="Y3" s="104">
        <f>IF(36&lt;=D3,$J3*Y$2*Y$1*(1-(Conditions!$K$20*Conditions!$N$20)),"")</f>
        <v>1725.8702375973376</v>
      </c>
      <c r="Z3" s="104">
        <f>IF(45&lt;=D3,$J3*Z$2*Z$1*(1-(Conditions!$K$20*Conditions!$N$20)),"")</f>
        <v>1639.5232932023748</v>
      </c>
      <c r="AA3" s="105" t="str">
        <f>IF(54&lt;=D3,$J3*AA$2*AA$1*(1-(Conditions!$K$20*Conditions!$N$20)),"")</f>
        <v/>
      </c>
      <c r="AB3" s="66"/>
    </row>
    <row r="4" spans="1:28" ht="15" thickBot="1" x14ac:dyDescent="0.35">
      <c r="A4" s="59" t="str">
        <f>Conditions!A5</f>
        <v>Arteon PA R-Line 2.0 TSI OPF 4MOTION DSG</v>
      </c>
      <c r="B4" s="148" t="str">
        <f>Conditions!B5</f>
        <v>TSI</v>
      </c>
      <c r="C4" s="149">
        <f>Conditions!C5</f>
        <v>206</v>
      </c>
      <c r="D4" s="150">
        <f>Conditions!H5</f>
        <v>48</v>
      </c>
      <c r="E4" s="150">
        <f>Conditions!I5</f>
        <v>50000</v>
      </c>
      <c r="F4" s="151">
        <f>Conditions!$B$17</f>
        <v>3.9E-2</v>
      </c>
      <c r="G4" s="152" t="str">
        <f>Conditions!$D$17</f>
        <v>variable</v>
      </c>
      <c r="H4" s="153">
        <f>Conditions!P5</f>
        <v>0</v>
      </c>
      <c r="I4" s="154">
        <f>Conditions!L5/1.2/1.95583</f>
        <v>46478.988460142245</v>
      </c>
      <c r="J4" s="154">
        <f>I4*1.2</f>
        <v>55774.786152170695</v>
      </c>
      <c r="K4" s="80">
        <f>PMT(F4/12,D4,-I4,H4*I4)</f>
        <v>1047.3730332419732</v>
      </c>
      <c r="L4" s="142" t="str">
        <f>Conditions!$B$20</f>
        <v>Allianz</v>
      </c>
      <c r="M4" s="142">
        <f>V4</f>
        <v>2176.5027149537536</v>
      </c>
      <c r="N4" s="142" t="e">
        <f>IF(Conditions!$D5="Bulstrad",VLOOKUP(Conditions!$E5,data!$B$5:$C$14,2,0),IF(Conditions!$D5="Uniqa",VLOOKUP(Conditions!$E5,data!$K$5:$L$12,2,0),IF(Conditions!$D5="Allianz",VLOOKUP(Conditions!$E5,data!$F$5:$G$12,2,0),"")))/1.95583*1.05</f>
        <v>#VALUE!</v>
      </c>
      <c r="O4" s="180">
        <f>IF(C4&lt;=55,C4*0.136,(IF(C4&lt;=74,C4*0.216,IF(C4&lt;=110,C4*0.44,IF(C4&lt;=150,C4*0.492,IF(C4&lt;=245,C4*0.64,IF(C4&gt;=246,C4*0.84,)))))))*2.3/1.95583</f>
        <v>155.04005971889171</v>
      </c>
      <c r="P4" s="139">
        <v>0</v>
      </c>
      <c r="Q4" s="139">
        <v>126</v>
      </c>
      <c r="R4" s="143">
        <f>Conditions!$B$18*I4</f>
        <v>0</v>
      </c>
      <c r="S4" s="64" t="e">
        <f>M4/12+N4/12+O4/12+P4/D4+Q4/D4+R4/D4</f>
        <v>#VALUE!</v>
      </c>
      <c r="T4" s="65" t="e">
        <f>(S4/I4)</f>
        <v>#VALUE!</v>
      </c>
      <c r="U4" s="96"/>
      <c r="V4" s="103">
        <f>SUM(W4:AA4)/(D4/12)</f>
        <v>2176.5027149537536</v>
      </c>
      <c r="W4" s="104">
        <f>IF(12&lt;=D4,$J4*W$2*W$1*(1-(Conditions!$K$20*Conditions!$N$20)),"")</f>
        <v>2360.9466978213854</v>
      </c>
      <c r="X4" s="104">
        <f>IF(24&lt;=D4,$J4*X$2*X$1*(1-(Conditions!$K$20*Conditions!$N$20)),"")</f>
        <v>2224.4100213208717</v>
      </c>
      <c r="Y4" s="104">
        <f>IF(36&lt;=D4,$J4*Y$2*Y$1*(1-(Conditions!$K$20*Conditions!$N$20)),"")</f>
        <v>2113.189520254828</v>
      </c>
      <c r="Z4" s="104">
        <f>IF(45&lt;=D4,$J4*Z$2*Z$1*(1-(Conditions!$K$20*Conditions!$N$20)),"")</f>
        <v>2007.4646204179303</v>
      </c>
      <c r="AA4" s="105" t="str">
        <f>IF(54&lt;=D4,$J4*AA$2*AA$1*(1-(Conditions!$K$20*Conditions!$N$20)),"")</f>
        <v/>
      </c>
      <c r="AB4" s="66"/>
    </row>
    <row r="5" spans="1:28" ht="15" thickBot="1" x14ac:dyDescent="0.35">
      <c r="A5" s="59"/>
      <c r="B5" s="148"/>
      <c r="C5" s="149"/>
      <c r="D5" s="150"/>
      <c r="E5" s="150"/>
      <c r="F5" s="151"/>
      <c r="G5" s="152"/>
      <c r="H5" s="153"/>
      <c r="I5" s="154"/>
      <c r="J5" s="154"/>
      <c r="K5" s="80"/>
      <c r="L5" s="142"/>
      <c r="M5" s="142"/>
      <c r="N5" s="142"/>
      <c r="O5" s="180"/>
      <c r="P5" s="139"/>
      <c r="Q5" s="139"/>
      <c r="R5" s="143"/>
      <c r="S5" s="64"/>
      <c r="T5" s="65"/>
      <c r="U5" s="96"/>
      <c r="V5" s="103" t="e">
        <f t="shared" ref="V5:V10" si="0">SUM(W5:AA5)/(D5/12)</f>
        <v>#DIV/0!</v>
      </c>
      <c r="W5" s="104" t="str">
        <f>IF(12&lt;=D5,$J5*W$2*W$1*(1-(Conditions!$K$20*Conditions!$N$20)),"")</f>
        <v/>
      </c>
      <c r="X5" s="104" t="str">
        <f>IF(24&lt;=D5,$J5*X$2*X$1*(1-(Conditions!$K$20*Conditions!$N$20)),"")</f>
        <v/>
      </c>
      <c r="Y5" s="104" t="str">
        <f>IF(36&lt;=D5,$J5*Y$2*Y$1*(1-(Conditions!$K$20*Conditions!$N$20)),"")</f>
        <v/>
      </c>
      <c r="Z5" s="104" t="str">
        <f>IF(45&lt;=D5,$J5*Z$2*Z$1*(1-(Conditions!$K$20*Conditions!$N$20)),"")</f>
        <v/>
      </c>
      <c r="AA5" s="105" t="str">
        <f>IF(54&lt;=D5,$J5*AA$2*AA$1*(1-(Conditions!$K$20*Conditions!$N$20)),"")</f>
        <v/>
      </c>
      <c r="AB5" s="66"/>
    </row>
    <row r="6" spans="1:28" ht="15" thickBot="1" x14ac:dyDescent="0.35">
      <c r="A6" s="59"/>
      <c r="B6" s="148"/>
      <c r="C6" s="149"/>
      <c r="D6" s="150"/>
      <c r="E6" s="150"/>
      <c r="F6" s="151"/>
      <c r="G6" s="152"/>
      <c r="H6" s="153"/>
      <c r="I6" s="154"/>
      <c r="J6" s="154"/>
      <c r="K6" s="80"/>
      <c r="L6" s="142"/>
      <c r="M6" s="142"/>
      <c r="N6" s="142"/>
      <c r="O6" s="180"/>
      <c r="P6" s="139"/>
      <c r="Q6" s="139"/>
      <c r="R6" s="143"/>
      <c r="S6" s="64"/>
      <c r="T6" s="65"/>
      <c r="U6" s="96"/>
      <c r="V6" s="103" t="e">
        <f t="shared" si="0"/>
        <v>#DIV/0!</v>
      </c>
      <c r="W6" s="104" t="str">
        <f>IF(12&lt;=D6,$J6*W$2*W$1*(1-(Conditions!$K$20*Conditions!$N$20)),"")</f>
        <v/>
      </c>
      <c r="X6" s="104" t="str">
        <f>IF(24&lt;=D6,$J6*X$2*X$1*(1-(Conditions!$K$20*Conditions!$N$20)),"")</f>
        <v/>
      </c>
      <c r="Y6" s="104" t="str">
        <f>IF(36&lt;=D6,$J6*Y$2*Y$1*(1-(Conditions!$K$20*Conditions!$N$20)),"")</f>
        <v/>
      </c>
      <c r="Z6" s="104" t="str">
        <f>IF(45&lt;=D6,$J6*Z$2*Z$1*(1-(Conditions!$K$20*Conditions!$N$20)),"")</f>
        <v/>
      </c>
      <c r="AA6" s="105" t="str">
        <f>IF(54&lt;=D6,$J6*AA$2*AA$1*(1-(Conditions!$K$20*Conditions!$N$20)),"")</f>
        <v/>
      </c>
      <c r="AB6" s="66"/>
    </row>
    <row r="7" spans="1:28" ht="15" thickBot="1" x14ac:dyDescent="0.35">
      <c r="A7" s="59"/>
      <c r="B7" s="148"/>
      <c r="C7" s="149"/>
      <c r="D7" s="150"/>
      <c r="E7" s="150"/>
      <c r="F7" s="151"/>
      <c r="G7" s="152"/>
      <c r="H7" s="153"/>
      <c r="I7" s="154"/>
      <c r="J7" s="154"/>
      <c r="K7" s="80"/>
      <c r="L7" s="142"/>
      <c r="M7" s="142"/>
      <c r="N7" s="142"/>
      <c r="O7" s="180"/>
      <c r="P7" s="139"/>
      <c r="Q7" s="139"/>
      <c r="R7" s="143"/>
      <c r="S7" s="64"/>
      <c r="T7" s="65"/>
      <c r="U7" s="96"/>
      <c r="V7" s="103" t="e">
        <f t="shared" si="0"/>
        <v>#DIV/0!</v>
      </c>
      <c r="W7" s="104" t="str">
        <f>IF(12&lt;=D7,$J7*W$2*W$1*(1-(Conditions!$K$20*Conditions!$N$20)),"")</f>
        <v/>
      </c>
      <c r="X7" s="104" t="str">
        <f>IF(24&lt;=D7,$J7*X$2*X$1*(1-(Conditions!$K$20*Conditions!$N$20)),"")</f>
        <v/>
      </c>
      <c r="Y7" s="104" t="str">
        <f>IF(36&lt;=D7,$J7*Y$2*Y$1*(1-(Conditions!$K$20*Conditions!$N$20)),"")</f>
        <v/>
      </c>
      <c r="Z7" s="104" t="str">
        <f>IF(45&lt;=D7,$J7*Z$2*Z$1*(1-(Conditions!$K$20*Conditions!$N$20)),"")</f>
        <v/>
      </c>
      <c r="AA7" s="105" t="str">
        <f>IF(54&lt;=D7,$J7*AA$2*AA$1*(1-(Conditions!$K$20*Conditions!$N$20)),"")</f>
        <v/>
      </c>
      <c r="AB7" s="66"/>
    </row>
    <row r="8" spans="1:28" ht="15" thickBot="1" x14ac:dyDescent="0.35">
      <c r="A8" s="59"/>
      <c r="B8" s="148"/>
      <c r="C8" s="149"/>
      <c r="D8" s="150"/>
      <c r="E8" s="150"/>
      <c r="F8" s="151"/>
      <c r="G8" s="152"/>
      <c r="H8" s="153"/>
      <c r="I8" s="154"/>
      <c r="J8" s="154"/>
      <c r="K8" s="80"/>
      <c r="L8" s="142"/>
      <c r="M8" s="142"/>
      <c r="N8" s="142"/>
      <c r="O8" s="180"/>
      <c r="P8" s="139"/>
      <c r="Q8" s="139"/>
      <c r="R8" s="143"/>
      <c r="S8" s="64"/>
      <c r="T8" s="65"/>
      <c r="U8" s="96"/>
      <c r="V8" s="103" t="e">
        <f t="shared" si="0"/>
        <v>#DIV/0!</v>
      </c>
      <c r="W8" s="104" t="str">
        <f>IF(12&lt;=D8,$J8*W$2*W$1*(1-(Conditions!$K$20*Conditions!$N$20)),"")</f>
        <v/>
      </c>
      <c r="X8" s="104" t="str">
        <f>IF(24&lt;=D8,$J8*X$2*X$1*(1-(Conditions!$K$20*Conditions!$N$20)),"")</f>
        <v/>
      </c>
      <c r="Y8" s="104" t="str">
        <f>IF(36&lt;=D8,$J8*Y$2*Y$1*(1-(Conditions!$K$20*Conditions!$N$20)),"")</f>
        <v/>
      </c>
      <c r="Z8" s="104" t="str">
        <f>IF(45&lt;=D8,$J8*Z$2*Z$1*(1-(Conditions!$K$20*Conditions!$N$20)),"")</f>
        <v/>
      </c>
      <c r="AA8" s="105" t="str">
        <f>IF(54&lt;=D8,$J8*AA$2*AA$1*(1-(Conditions!$K$20*Conditions!$N$20)),"")</f>
        <v/>
      </c>
      <c r="AB8" s="66"/>
    </row>
    <row r="9" spans="1:28" ht="15" thickBot="1" x14ac:dyDescent="0.35">
      <c r="A9" s="59"/>
      <c r="B9" s="148"/>
      <c r="C9" s="149"/>
      <c r="D9" s="150"/>
      <c r="E9" s="150"/>
      <c r="F9" s="151"/>
      <c r="G9" s="152"/>
      <c r="H9" s="153"/>
      <c r="I9" s="154"/>
      <c r="J9" s="154"/>
      <c r="K9" s="80"/>
      <c r="L9" s="142"/>
      <c r="M9" s="142"/>
      <c r="N9" s="142"/>
      <c r="O9" s="180"/>
      <c r="P9" s="139"/>
      <c r="Q9" s="139"/>
      <c r="R9" s="143"/>
      <c r="S9" s="64"/>
      <c r="T9" s="65"/>
      <c r="U9" s="96"/>
      <c r="V9" s="103" t="e">
        <f t="shared" si="0"/>
        <v>#DIV/0!</v>
      </c>
      <c r="W9" s="104" t="str">
        <f>IF(12&lt;=D9,$J9*W$2*W$1*(1-(Conditions!$K$20*Conditions!$N$20)),"")</f>
        <v/>
      </c>
      <c r="X9" s="104" t="str">
        <f>IF(24&lt;=D9,$J9*X$2*X$1*(1-(Conditions!$K$20*Conditions!$N$20)),"")</f>
        <v/>
      </c>
      <c r="Y9" s="104" t="str">
        <f>IF(36&lt;=D9,$J9*Y$2*Y$1*(1-(Conditions!$K$20*Conditions!$N$20)),"")</f>
        <v/>
      </c>
      <c r="Z9" s="104" t="str">
        <f>IF(45&lt;=D9,$J9*Z$2*Z$1*(1-(Conditions!$K$20*Conditions!$N$20)),"")</f>
        <v/>
      </c>
      <c r="AA9" s="105" t="str">
        <f>IF(54&lt;=D9,$J9*AA$2*AA$1*(1-(Conditions!$K$20*Conditions!$N$20)),"")</f>
        <v/>
      </c>
      <c r="AB9" s="66"/>
    </row>
    <row r="10" spans="1:28" ht="15" thickBot="1" x14ac:dyDescent="0.35">
      <c r="A10" s="59"/>
      <c r="B10" s="148"/>
      <c r="C10" s="149"/>
      <c r="D10" s="150"/>
      <c r="E10" s="150"/>
      <c r="F10" s="151"/>
      <c r="G10" s="152"/>
      <c r="H10" s="153"/>
      <c r="I10" s="154"/>
      <c r="J10" s="154"/>
      <c r="K10" s="80"/>
      <c r="L10" s="142"/>
      <c r="M10" s="142"/>
      <c r="N10" s="142"/>
      <c r="O10" s="180"/>
      <c r="P10" s="139"/>
      <c r="Q10" s="139"/>
      <c r="R10" s="143"/>
      <c r="S10" s="64"/>
      <c r="T10" s="65"/>
      <c r="U10" s="96"/>
      <c r="V10" s="103" t="e">
        <f t="shared" si="0"/>
        <v>#DIV/0!</v>
      </c>
      <c r="W10" s="104" t="str">
        <f>IF(12&lt;=D10,$J10*W$2*W$1*(1-(Conditions!$K$20*Conditions!$N$20)),"")</f>
        <v/>
      </c>
      <c r="X10" s="104" t="str">
        <f>IF(24&lt;=D10,$J10*X$2*X$1*(1-(Conditions!$K$20*Conditions!$N$20)),"")</f>
        <v/>
      </c>
      <c r="Y10" s="104" t="str">
        <f>IF(36&lt;=D10,$J10*Y$2*Y$1*(1-(Conditions!$K$20*Conditions!$N$20)),"")</f>
        <v/>
      </c>
      <c r="Z10" s="104" t="str">
        <f>IF(45&lt;=D10,$J10*Z$2*Z$1*(1-(Conditions!$K$20*Conditions!$N$20)),"")</f>
        <v/>
      </c>
      <c r="AA10" s="105" t="str">
        <f>IF(54&lt;=D10,$J10*AA$2*AA$1*(1-(Conditions!$K$20*Conditions!$N$20)),"")</f>
        <v/>
      </c>
      <c r="AB10" s="66"/>
    </row>
    <row r="11" spans="1:28" ht="15" thickBot="1" x14ac:dyDescent="0.35">
      <c r="A11" s="67"/>
      <c r="B11" s="68"/>
      <c r="C11" s="114"/>
      <c r="D11" s="78"/>
      <c r="E11" s="78"/>
      <c r="F11" s="62"/>
      <c r="G11" s="63"/>
      <c r="H11" s="72"/>
      <c r="I11" s="73"/>
      <c r="J11" s="73"/>
      <c r="K11" s="80"/>
      <c r="L11" s="138"/>
      <c r="M11" s="139"/>
      <c r="N11" s="139"/>
      <c r="O11" s="139"/>
      <c r="P11" s="139"/>
      <c r="Q11" s="139"/>
      <c r="R11" s="139"/>
      <c r="S11" s="64"/>
      <c r="T11" s="65"/>
      <c r="U11" s="96"/>
      <c r="V11" s="103"/>
      <c r="W11" s="104"/>
      <c r="X11" s="104"/>
      <c r="Y11" s="104"/>
      <c r="Z11" s="104"/>
      <c r="AA11" s="105"/>
    </row>
    <row r="12" spans="1:28" ht="15" thickBot="1" x14ac:dyDescent="0.35">
      <c r="A12" s="67"/>
      <c r="B12" s="68"/>
      <c r="C12" s="114"/>
      <c r="D12" s="78"/>
      <c r="E12" s="78"/>
      <c r="F12" s="62"/>
      <c r="G12" s="63"/>
      <c r="H12" s="72"/>
      <c r="I12" s="73"/>
      <c r="J12" s="73"/>
      <c r="K12" s="80"/>
      <c r="L12" s="138"/>
      <c r="M12" s="139"/>
      <c r="N12" s="139"/>
      <c r="O12" s="139"/>
      <c r="P12" s="139"/>
      <c r="Q12" s="139"/>
      <c r="R12" s="139"/>
      <c r="S12" s="64"/>
      <c r="T12" s="65"/>
      <c r="U12" s="96"/>
      <c r="V12" s="103" t="e">
        <f t="shared" ref="V12:V34" si="1">SUM(W12:AA12)/(D12/12)</f>
        <v>#DIV/0!</v>
      </c>
      <c r="W12" s="104" t="str">
        <f>IF(12&lt;=D12,$J12*W$2*W$1*(1-(Conditions!$K$20*Conditions!$N$20)),"")</f>
        <v/>
      </c>
      <c r="X12" s="104" t="str">
        <f>IF(24&lt;=D12,$J12*X$2*X$1*(1-(Conditions!$K$20*Conditions!$N$20)),"")</f>
        <v/>
      </c>
      <c r="Y12" s="104" t="str">
        <f>IF(36&lt;=D12,$J12*Y$2*Y$1*(1-(Conditions!$K$20*Conditions!$N$20)),"")</f>
        <v/>
      </c>
      <c r="Z12" s="104" t="str">
        <f>IF(45&lt;=D12,$J12*Z$2*Z$1*(1-(Conditions!$K$20*Conditions!$N$20)),"")</f>
        <v/>
      </c>
      <c r="AA12" s="105" t="str">
        <f>IF(54&lt;=D12,$J12*AA$2*AA$1*(1-(Conditions!$K$20*Conditions!$N$20)),"")</f>
        <v/>
      </c>
    </row>
    <row r="13" spans="1:28" ht="15" thickBot="1" x14ac:dyDescent="0.35">
      <c r="A13" s="67"/>
      <c r="B13" s="68"/>
      <c r="C13" s="114"/>
      <c r="D13" s="78"/>
      <c r="E13" s="78"/>
      <c r="F13" s="62"/>
      <c r="G13" s="63"/>
      <c r="H13" s="72"/>
      <c r="I13" s="73"/>
      <c r="J13" s="73"/>
      <c r="K13" s="80"/>
      <c r="L13" s="138"/>
      <c r="M13" s="139"/>
      <c r="N13" s="139"/>
      <c r="O13" s="139"/>
      <c r="P13" s="139"/>
      <c r="Q13" s="139"/>
      <c r="R13" s="139"/>
      <c r="S13" s="64"/>
      <c r="T13" s="65"/>
      <c r="U13" s="96"/>
      <c r="V13" s="103" t="e">
        <f t="shared" si="1"/>
        <v>#DIV/0!</v>
      </c>
      <c r="W13" s="104" t="str">
        <f>IF(12&lt;=D13,$J13*W$2*W$1*(1-(Conditions!$K$20*Conditions!$N$20)),"")</f>
        <v/>
      </c>
      <c r="X13" s="104" t="str">
        <f>IF(24&lt;=D13,$J13*X$2*X$1*(1-(Conditions!$K$20*Conditions!$N$20)),"")</f>
        <v/>
      </c>
      <c r="Y13" s="104" t="str">
        <f>IF(36&lt;=D13,$J13*Y$2*Y$1*(1-(Conditions!$K$20*Conditions!$N$20)),"")</f>
        <v/>
      </c>
      <c r="Z13" s="104" t="str">
        <f>IF(45&lt;=D13,$J13*Z$2*Z$1*(1-(Conditions!$K$20*Conditions!$N$20)),"")</f>
        <v/>
      </c>
      <c r="AA13" s="105" t="str">
        <f>IF(54&lt;=D13,$J13*AA$2*AA$1*(1-(Conditions!$K$20*Conditions!$N$20)),"")</f>
        <v/>
      </c>
    </row>
    <row r="14" spans="1:28" ht="15" thickBot="1" x14ac:dyDescent="0.35">
      <c r="A14" s="67"/>
      <c r="B14" s="68"/>
      <c r="C14" s="114"/>
      <c r="D14" s="78"/>
      <c r="E14" s="78"/>
      <c r="F14" s="62"/>
      <c r="G14" s="63"/>
      <c r="H14" s="72"/>
      <c r="I14" s="73"/>
      <c r="J14" s="73"/>
      <c r="K14" s="80"/>
      <c r="L14" s="138"/>
      <c r="M14" s="139"/>
      <c r="N14" s="139"/>
      <c r="O14" s="139"/>
      <c r="P14" s="139"/>
      <c r="Q14" s="139"/>
      <c r="R14" s="139"/>
      <c r="S14" s="64"/>
      <c r="T14" s="65"/>
      <c r="U14" s="96"/>
      <c r="V14" s="103" t="e">
        <f t="shared" si="1"/>
        <v>#DIV/0!</v>
      </c>
      <c r="W14" s="104" t="str">
        <f>IF(12&lt;=D14,$J14*W$2*W$1*(1-(Conditions!$K$20*Conditions!$N$20)),"")</f>
        <v/>
      </c>
      <c r="X14" s="104" t="str">
        <f>IF(24&lt;=D14,$J14*X$2*X$1*(1-(Conditions!$K$20*Conditions!$N$20)),"")</f>
        <v/>
      </c>
      <c r="Y14" s="104" t="str">
        <f>IF(36&lt;=D14,$J14*Y$2*Y$1*(1-(Conditions!$K$20*Conditions!$N$20)),"")</f>
        <v/>
      </c>
      <c r="Z14" s="104" t="str">
        <f>IF(45&lt;=D14,$J14*Z$2*Z$1*(1-(Conditions!$K$20*Conditions!$N$20)),"")</f>
        <v/>
      </c>
      <c r="AA14" s="105" t="str">
        <f>IF(54&lt;=D14,$J14*AA$2*AA$1*(1-(Conditions!$K$20*Conditions!$N$20)),"")</f>
        <v/>
      </c>
    </row>
    <row r="15" spans="1:28" ht="15" thickBot="1" x14ac:dyDescent="0.35">
      <c r="A15" s="67"/>
      <c r="B15" s="60"/>
      <c r="C15" s="113"/>
      <c r="D15" s="77"/>
      <c r="E15" s="77"/>
      <c r="F15" s="62"/>
      <c r="G15" s="63"/>
      <c r="H15" s="72"/>
      <c r="I15" s="73"/>
      <c r="J15" s="73"/>
      <c r="K15" s="80"/>
      <c r="L15" s="138"/>
      <c r="M15" s="139"/>
      <c r="N15" s="139"/>
      <c r="O15" s="139"/>
      <c r="P15" s="139"/>
      <c r="Q15" s="139"/>
      <c r="R15" s="139"/>
      <c r="S15" s="64"/>
      <c r="T15" s="65"/>
      <c r="U15" s="96"/>
      <c r="V15" s="103" t="e">
        <f t="shared" si="1"/>
        <v>#DIV/0!</v>
      </c>
      <c r="W15" s="104" t="str">
        <f>IF(12&lt;=D15,$J15*W$2*W$1*(1-(Conditions!$K$20*Conditions!$N$20)),"")</f>
        <v/>
      </c>
      <c r="X15" s="104" t="str">
        <f>IF(24&lt;=D15,$J15*X$2*X$1*(1-(Conditions!$K$20*Conditions!$N$20)),"")</f>
        <v/>
      </c>
      <c r="Y15" s="104" t="str">
        <f>IF(36&lt;=D15,$J15*Y$2*Y$1*(1-(Conditions!$K$20*Conditions!$N$20)),"")</f>
        <v/>
      </c>
      <c r="Z15" s="104" t="str">
        <f>IF(45&lt;=D15,$J15*Z$2*Z$1*(1-(Conditions!$K$20*Conditions!$N$20)),"")</f>
        <v/>
      </c>
      <c r="AA15" s="105" t="str">
        <f>IF(54&lt;=D15,$J15*AA$2*AA$1*(1-(Conditions!$K$20*Conditions!$N$20)),"")</f>
        <v/>
      </c>
    </row>
    <row r="16" spans="1:28" ht="15" thickBot="1" x14ac:dyDescent="0.35">
      <c r="A16" s="67"/>
      <c r="B16" s="60"/>
      <c r="C16" s="113"/>
      <c r="D16" s="77"/>
      <c r="E16" s="77"/>
      <c r="F16" s="62"/>
      <c r="G16" s="63"/>
      <c r="H16" s="72"/>
      <c r="I16" s="73"/>
      <c r="J16" s="73"/>
      <c r="K16" s="80"/>
      <c r="L16" s="138"/>
      <c r="M16" s="139"/>
      <c r="N16" s="139"/>
      <c r="O16" s="139"/>
      <c r="P16" s="139"/>
      <c r="Q16" s="139"/>
      <c r="R16" s="139"/>
      <c r="S16" s="64"/>
      <c r="T16" s="65"/>
      <c r="U16" s="96"/>
      <c r="V16" s="103" t="e">
        <f t="shared" si="1"/>
        <v>#DIV/0!</v>
      </c>
      <c r="W16" s="104" t="str">
        <f>IF(12&lt;=D16,$J16*W$2*W$1*(1-(Conditions!$K$20*Conditions!$N$20)),"")</f>
        <v/>
      </c>
      <c r="X16" s="104" t="str">
        <f>IF(24&lt;=D16,$J16*X$2*X$1*(1-(Conditions!$K$20*Conditions!$N$20)),"")</f>
        <v/>
      </c>
      <c r="Y16" s="104" t="str">
        <f>IF(36&lt;=D16,$J16*Y$2*Y$1*(1-(Conditions!$K$20*Conditions!$N$20)),"")</f>
        <v/>
      </c>
      <c r="Z16" s="104" t="str">
        <f>IF(45&lt;=D16,$J16*Z$2*Z$1*(1-(Conditions!$K$20*Conditions!$N$20)),"")</f>
        <v/>
      </c>
      <c r="AA16" s="105" t="str">
        <f>IF(54&lt;=D16,$J16*AA$2*AA$1*(1-(Conditions!$K$20*Conditions!$N$20)),"")</f>
        <v/>
      </c>
    </row>
    <row r="17" spans="1:27" ht="15" thickBot="1" x14ac:dyDescent="0.35">
      <c r="A17" s="67"/>
      <c r="B17" s="60"/>
      <c r="C17" s="113"/>
      <c r="D17" s="77"/>
      <c r="E17" s="77"/>
      <c r="F17" s="62"/>
      <c r="G17" s="63"/>
      <c r="H17" s="72"/>
      <c r="I17" s="73"/>
      <c r="J17" s="73"/>
      <c r="K17" s="80"/>
      <c r="L17" s="138"/>
      <c r="M17" s="139"/>
      <c r="N17" s="139"/>
      <c r="O17" s="139"/>
      <c r="P17" s="139"/>
      <c r="Q17" s="139"/>
      <c r="R17" s="139"/>
      <c r="S17" s="64"/>
      <c r="T17" s="65"/>
      <c r="U17" s="96"/>
      <c r="V17" s="103" t="e">
        <f t="shared" si="1"/>
        <v>#DIV/0!</v>
      </c>
      <c r="W17" s="104" t="str">
        <f>IF(12&lt;=D17,$J17*W$2*W$1*(1-(Conditions!$K$20*Conditions!$N$20)),"")</f>
        <v/>
      </c>
      <c r="X17" s="104" t="str">
        <f>IF(24&lt;=D17,$J17*X$2*X$1*(1-(Conditions!$K$20*Conditions!$N$20)),"")</f>
        <v/>
      </c>
      <c r="Y17" s="104" t="str">
        <f>IF(36&lt;=D17,$J17*Y$2*Y$1*(1-(Conditions!$K$20*Conditions!$N$20)),"")</f>
        <v/>
      </c>
      <c r="Z17" s="104" t="str">
        <f>IF(45&lt;=D17,$J17*Z$2*Z$1*(1-(Conditions!$K$20*Conditions!$N$20)),"")</f>
        <v/>
      </c>
      <c r="AA17" s="105" t="str">
        <f>IF(54&lt;=D17,$J17*AA$2*AA$1*(1-(Conditions!$K$20*Conditions!$N$20)),"")</f>
        <v/>
      </c>
    </row>
    <row r="18" spans="1:27" ht="15" thickBot="1" x14ac:dyDescent="0.35">
      <c r="A18" s="67"/>
      <c r="B18" s="60"/>
      <c r="C18" s="61"/>
      <c r="D18" s="77"/>
      <c r="E18" s="77"/>
      <c r="F18" s="62"/>
      <c r="G18" s="63"/>
      <c r="H18" s="72"/>
      <c r="I18" s="73"/>
      <c r="J18" s="73"/>
      <c r="K18" s="80"/>
      <c r="L18" s="138"/>
      <c r="M18" s="139"/>
      <c r="N18" s="139"/>
      <c r="O18" s="139"/>
      <c r="P18" s="139"/>
      <c r="Q18" s="139"/>
      <c r="R18" s="139"/>
      <c r="S18" s="64"/>
      <c r="T18" s="65"/>
      <c r="U18" s="96"/>
      <c r="V18" s="103" t="e">
        <f t="shared" si="1"/>
        <v>#DIV/0!</v>
      </c>
      <c r="W18" s="104" t="str">
        <f>IF(12&lt;=D18,$J18*W$2*W$1*(1-(Conditions!$K$20*Conditions!$N$20)),"")</f>
        <v/>
      </c>
      <c r="X18" s="104" t="str">
        <f>IF(24&lt;=D18,$J18*X$2*X$1*(1-(Conditions!$K$20*Conditions!$N$20)),"")</f>
        <v/>
      </c>
      <c r="Y18" s="104" t="str">
        <f>IF(36&lt;=D18,$J18*Y$2*Y$1*(1-(Conditions!$K$20*Conditions!$N$20)),"")</f>
        <v/>
      </c>
      <c r="Z18" s="104" t="str">
        <f>IF(45&lt;=D18,$J18*Z$2*Z$1*(1-(Conditions!$K$20*Conditions!$N$20)),"")</f>
        <v/>
      </c>
      <c r="AA18" s="105" t="str">
        <f>IF(54&lt;=D18,$J18*AA$2*AA$1*(1-(Conditions!$K$20*Conditions!$N$20)),"")</f>
        <v/>
      </c>
    </row>
    <row r="19" spans="1:27" ht="15" thickBot="1" x14ac:dyDescent="0.35">
      <c r="A19" s="67"/>
      <c r="B19" s="60"/>
      <c r="C19" s="61"/>
      <c r="D19" s="77"/>
      <c r="E19" s="77"/>
      <c r="F19" s="62"/>
      <c r="G19" s="63"/>
      <c r="H19" s="72"/>
      <c r="I19" s="73"/>
      <c r="J19" s="73"/>
      <c r="K19" s="80"/>
      <c r="L19" s="138"/>
      <c r="M19" s="139"/>
      <c r="N19" s="139"/>
      <c r="O19" s="139"/>
      <c r="P19" s="139"/>
      <c r="Q19" s="139"/>
      <c r="R19" s="139"/>
      <c r="S19" s="64"/>
      <c r="T19" s="65"/>
      <c r="U19" s="96"/>
      <c r="V19" s="103" t="e">
        <f t="shared" si="1"/>
        <v>#DIV/0!</v>
      </c>
      <c r="W19" s="104" t="str">
        <f>IF(12&lt;=D19,$J19*W$2*W$1*(1-(Conditions!$K$20*Conditions!$N$20)),"")</f>
        <v/>
      </c>
      <c r="X19" s="104" t="str">
        <f>IF(24&lt;=D19,$J19*X$2*X$1*(1-(Conditions!$K$20*Conditions!$N$20)),"")</f>
        <v/>
      </c>
      <c r="Y19" s="104" t="str">
        <f>IF(36&lt;=D19,$J19*Y$2*Y$1*(1-(Conditions!$K$20*Conditions!$N$20)),"")</f>
        <v/>
      </c>
      <c r="Z19" s="104" t="str">
        <f>IF(45&lt;=D19,$J19*Z$2*Z$1*(1-(Conditions!$K$20*Conditions!$N$20)),"")</f>
        <v/>
      </c>
      <c r="AA19" s="105" t="str">
        <f>IF(54&lt;=D19,$J19*AA$2*AA$1*(1-(Conditions!$K$20*Conditions!$N$20)),"")</f>
        <v/>
      </c>
    </row>
    <row r="20" spans="1:27" ht="15" thickBot="1" x14ac:dyDescent="0.35">
      <c r="A20" s="67"/>
      <c r="B20" s="60"/>
      <c r="C20" s="61"/>
      <c r="D20" s="77"/>
      <c r="E20" s="77"/>
      <c r="F20" s="62"/>
      <c r="G20" s="63"/>
      <c r="H20" s="72"/>
      <c r="I20" s="73"/>
      <c r="J20" s="73"/>
      <c r="K20" s="80"/>
      <c r="L20" s="138"/>
      <c r="M20" s="139"/>
      <c r="N20" s="139"/>
      <c r="O20" s="139"/>
      <c r="P20" s="139"/>
      <c r="Q20" s="139"/>
      <c r="R20" s="139"/>
      <c r="S20" s="64"/>
      <c r="T20" s="65"/>
      <c r="U20" s="96"/>
      <c r="V20" s="103" t="e">
        <f t="shared" si="1"/>
        <v>#DIV/0!</v>
      </c>
      <c r="W20" s="104" t="str">
        <f>IF(12&lt;=D20,$J20*W$2*W$1*(1-(Conditions!$K$20*Conditions!$N$20)),"")</f>
        <v/>
      </c>
      <c r="X20" s="104" t="str">
        <f>IF(24&lt;=D20,$J20*X$2*X$1*(1-(Conditions!$K$20*Conditions!$N$20)),"")</f>
        <v/>
      </c>
      <c r="Y20" s="104" t="str">
        <f>IF(36&lt;=D20,$J20*Y$2*Y$1*(1-(Conditions!$K$20*Conditions!$N$20)),"")</f>
        <v/>
      </c>
      <c r="Z20" s="104" t="str">
        <f>IF(45&lt;=D20,$J20*Z$2*Z$1*(1-(Conditions!$K$20*Conditions!$N$20)),"")</f>
        <v/>
      </c>
      <c r="AA20" s="105" t="str">
        <f>IF(54&lt;=D20,$J20*AA$2*AA$1*(1-(Conditions!$K$20*Conditions!$N$20)),"")</f>
        <v/>
      </c>
    </row>
    <row r="21" spans="1:27" ht="15" thickBot="1" x14ac:dyDescent="0.35">
      <c r="A21" s="67"/>
      <c r="B21" s="60"/>
      <c r="C21" s="61"/>
      <c r="D21" s="77"/>
      <c r="E21" s="77"/>
      <c r="F21" s="62"/>
      <c r="G21" s="63"/>
      <c r="H21" s="72"/>
      <c r="I21" s="73"/>
      <c r="J21" s="73"/>
      <c r="K21" s="80"/>
      <c r="L21" s="138"/>
      <c r="M21" s="139"/>
      <c r="N21" s="139"/>
      <c r="O21" s="139"/>
      <c r="P21" s="139"/>
      <c r="Q21" s="139"/>
      <c r="R21" s="139"/>
      <c r="S21" s="64"/>
      <c r="T21" s="65"/>
      <c r="U21" s="96"/>
      <c r="V21" s="103" t="e">
        <f t="shared" si="1"/>
        <v>#DIV/0!</v>
      </c>
      <c r="W21" s="104" t="str">
        <f>IF(12&lt;=D21,$J21*W$2*W$1*(1-(Conditions!$K$20*Conditions!$N$20)),"")</f>
        <v/>
      </c>
      <c r="X21" s="104" t="str">
        <f>IF(24&lt;=D21,$J21*X$2*X$1*(1-(Conditions!$K$20*Conditions!$N$20)),"")</f>
        <v/>
      </c>
      <c r="Y21" s="104" t="str">
        <f>IF(36&lt;=D21,$J21*Y$2*Y$1*(1-(Conditions!$K$20*Conditions!$N$20)),"")</f>
        <v/>
      </c>
      <c r="Z21" s="104" t="str">
        <f>IF(45&lt;=D21,$J21*Z$2*Z$1*(1-(Conditions!$K$20*Conditions!$N$20)),"")</f>
        <v/>
      </c>
      <c r="AA21" s="105" t="str">
        <f>IF(54&lt;=D21,$J21*AA$2*AA$1*(1-(Conditions!$K$20*Conditions!$N$20)),"")</f>
        <v/>
      </c>
    </row>
    <row r="22" spans="1:27" ht="15" thickBot="1" x14ac:dyDescent="0.35">
      <c r="A22" s="67"/>
      <c r="B22" s="60"/>
      <c r="C22" s="61"/>
      <c r="D22" s="77"/>
      <c r="E22" s="77"/>
      <c r="F22" s="62"/>
      <c r="G22" s="63"/>
      <c r="H22" s="72"/>
      <c r="I22" s="73"/>
      <c r="J22" s="73"/>
      <c r="K22" s="80"/>
      <c r="L22" s="138"/>
      <c r="M22" s="139"/>
      <c r="N22" s="139"/>
      <c r="O22" s="139"/>
      <c r="P22" s="139"/>
      <c r="Q22" s="139"/>
      <c r="R22" s="139"/>
      <c r="S22" s="64"/>
      <c r="T22" s="65"/>
      <c r="U22" s="96"/>
      <c r="V22" s="103" t="e">
        <f t="shared" si="1"/>
        <v>#DIV/0!</v>
      </c>
      <c r="W22" s="104" t="str">
        <f>IF(12&lt;=D22,$J22*W$2*W$1*(1-(Conditions!$K$20*Conditions!$N$20)),"")</f>
        <v/>
      </c>
      <c r="X22" s="104" t="str">
        <f>IF(24&lt;=D22,$J22*X$2*X$1*(1-(Conditions!$K$20*Conditions!$N$20)),"")</f>
        <v/>
      </c>
      <c r="Y22" s="104" t="str">
        <f>IF(36&lt;=D22,$J22*Y$2*Y$1*(1-(Conditions!$K$20*Conditions!$N$20)),"")</f>
        <v/>
      </c>
      <c r="Z22" s="104" t="str">
        <f>IF(45&lt;=D22,$J22*Z$2*Z$1*(1-(Conditions!$K$20*Conditions!$N$20)),"")</f>
        <v/>
      </c>
      <c r="AA22" s="105" t="str">
        <f>IF(54&lt;=D22,$J22*AA$2*AA$1*(1-(Conditions!$K$20*Conditions!$N$20)),"")</f>
        <v/>
      </c>
    </row>
    <row r="23" spans="1:27" ht="15" thickBot="1" x14ac:dyDescent="0.35">
      <c r="A23" s="67"/>
      <c r="B23" s="60"/>
      <c r="C23" s="61"/>
      <c r="D23" s="77"/>
      <c r="E23" s="77"/>
      <c r="F23" s="62"/>
      <c r="G23" s="63"/>
      <c r="H23" s="72"/>
      <c r="I23" s="73"/>
      <c r="J23" s="73"/>
      <c r="K23" s="80"/>
      <c r="L23" s="138"/>
      <c r="M23" s="139"/>
      <c r="N23" s="139"/>
      <c r="O23" s="139"/>
      <c r="P23" s="139"/>
      <c r="Q23" s="139"/>
      <c r="R23" s="139"/>
      <c r="S23" s="64"/>
      <c r="T23" s="65"/>
      <c r="U23" s="96"/>
      <c r="V23" s="103" t="e">
        <f t="shared" si="1"/>
        <v>#DIV/0!</v>
      </c>
      <c r="W23" s="104" t="str">
        <f>IF(12&lt;=D23,$J23*W$2*W$1*(1-(Conditions!$K$20*Conditions!$N$20)),"")</f>
        <v/>
      </c>
      <c r="X23" s="104" t="str">
        <f>IF(24&lt;=D23,$J23*X$2*X$1*(1-(Conditions!$K$20*Conditions!$N$20)),"")</f>
        <v/>
      </c>
      <c r="Y23" s="104" t="str">
        <f>IF(36&lt;=D23,$J23*Y$2*Y$1*(1-(Conditions!$K$20*Conditions!$N$20)),"")</f>
        <v/>
      </c>
      <c r="Z23" s="104" t="str">
        <f>IF(45&lt;=D23,$J23*Z$2*Z$1*(1-(Conditions!$K$20*Conditions!$N$20)),"")</f>
        <v/>
      </c>
      <c r="AA23" s="105" t="str">
        <f>IF(54&lt;=D23,$J23*AA$2*AA$1*(1-(Conditions!$K$20*Conditions!$N$20)),"")</f>
        <v/>
      </c>
    </row>
    <row r="24" spans="1:27" ht="15" thickBot="1" x14ac:dyDescent="0.35">
      <c r="A24" s="67"/>
      <c r="B24" s="60"/>
      <c r="C24" s="61"/>
      <c r="D24" s="77"/>
      <c r="E24" s="77"/>
      <c r="F24" s="62"/>
      <c r="G24" s="63"/>
      <c r="H24" s="72"/>
      <c r="I24" s="73"/>
      <c r="J24" s="73"/>
      <c r="K24" s="80"/>
      <c r="L24" s="138"/>
      <c r="M24" s="139"/>
      <c r="N24" s="139"/>
      <c r="O24" s="139"/>
      <c r="P24" s="139"/>
      <c r="Q24" s="139"/>
      <c r="R24" s="139"/>
      <c r="S24" s="64"/>
      <c r="T24" s="65"/>
      <c r="U24" s="96"/>
      <c r="V24" s="103" t="e">
        <f t="shared" si="1"/>
        <v>#DIV/0!</v>
      </c>
      <c r="W24" s="104" t="str">
        <f>IF(12&lt;=D24,$J24*W$2*W$1*(1-(Conditions!$K$20*Conditions!$N$20)),"")</f>
        <v/>
      </c>
      <c r="X24" s="104" t="str">
        <f>IF(24&lt;=D24,$J24*X$2*X$1*(1-(Conditions!$K$20*Conditions!$N$20)),"")</f>
        <v/>
      </c>
      <c r="Y24" s="104" t="str">
        <f>IF(36&lt;=D24,$J24*Y$2*Y$1*(1-(Conditions!$K$20*Conditions!$N$20)),"")</f>
        <v/>
      </c>
      <c r="Z24" s="104" t="str">
        <f>IF(45&lt;=D24,$J24*Z$2*Z$1*(1-(Conditions!$K$20*Conditions!$N$20)),"")</f>
        <v/>
      </c>
      <c r="AA24" s="105" t="str">
        <f>IF(54&lt;=D24,$J24*AA$2*AA$1*(1-(Conditions!$K$20*Conditions!$N$20)),"")</f>
        <v/>
      </c>
    </row>
    <row r="25" spans="1:27" ht="15" thickBot="1" x14ac:dyDescent="0.35">
      <c r="A25" s="67"/>
      <c r="B25" s="60"/>
      <c r="C25" s="61"/>
      <c r="D25" s="77"/>
      <c r="E25" s="77"/>
      <c r="F25" s="62"/>
      <c r="G25" s="63"/>
      <c r="H25" s="72"/>
      <c r="I25" s="73"/>
      <c r="J25" s="73"/>
      <c r="K25" s="80"/>
      <c r="L25" s="138"/>
      <c r="M25" s="139"/>
      <c r="N25" s="139"/>
      <c r="O25" s="139"/>
      <c r="P25" s="139"/>
      <c r="Q25" s="139"/>
      <c r="R25" s="139"/>
      <c r="S25" s="64"/>
      <c r="T25" s="65"/>
      <c r="U25" s="97"/>
      <c r="V25" s="103" t="e">
        <f t="shared" si="1"/>
        <v>#DIV/0!</v>
      </c>
      <c r="W25" s="104" t="str">
        <f>IF(12&lt;=D25,$J25*W$2*W$1*(1-(Conditions!$K$20*Conditions!$N$20)),"")</f>
        <v/>
      </c>
      <c r="X25" s="104" t="str">
        <f>IF(24&lt;=D25,$J25*X$2*X$1*(1-(Conditions!$K$20*Conditions!$N$20)),"")</f>
        <v/>
      </c>
      <c r="Y25" s="104" t="str">
        <f>IF(36&lt;=D25,$J25*Y$2*Y$1*(1-(Conditions!$K$20*Conditions!$N$20)),"")</f>
        <v/>
      </c>
      <c r="Z25" s="104" t="str">
        <f>IF(45&lt;=D25,$J25*Z$2*Z$1*(1-(Conditions!$K$20*Conditions!$N$20)),"")</f>
        <v/>
      </c>
      <c r="AA25" s="105" t="str">
        <f>IF(54&lt;=D25,$J25*AA$2*AA$1*(1-(Conditions!$K$20*Conditions!$N$20)),"")</f>
        <v/>
      </c>
    </row>
    <row r="26" spans="1:27" ht="15" thickBot="1" x14ac:dyDescent="0.35">
      <c r="A26" s="67"/>
      <c r="B26" s="60"/>
      <c r="C26" s="61"/>
      <c r="D26" s="77"/>
      <c r="E26" s="77"/>
      <c r="F26" s="62"/>
      <c r="G26" s="63"/>
      <c r="H26" s="72"/>
      <c r="I26" s="73"/>
      <c r="J26" s="73"/>
      <c r="K26" s="80"/>
      <c r="L26" s="138"/>
      <c r="M26" s="139"/>
      <c r="N26" s="139"/>
      <c r="O26" s="139"/>
      <c r="P26" s="139"/>
      <c r="Q26" s="139"/>
      <c r="R26" s="139"/>
      <c r="S26" s="64"/>
      <c r="T26" s="65"/>
      <c r="U26" s="97"/>
      <c r="V26" s="103" t="e">
        <f t="shared" si="1"/>
        <v>#DIV/0!</v>
      </c>
      <c r="W26" s="104" t="str">
        <f>IF(12&lt;=D26,$J26*W$2*W$1*(1-(Conditions!$K$20*Conditions!$N$20)),"")</f>
        <v/>
      </c>
      <c r="X26" s="104" t="str">
        <f>IF(24&lt;=D26,$J26*X$2*X$1*(1-(Conditions!$K$20*Conditions!$N$20)),"")</f>
        <v/>
      </c>
      <c r="Y26" s="104" t="str">
        <f>IF(36&lt;=D26,$J26*Y$2*Y$1*(1-(Conditions!$K$20*Conditions!$N$20)),"")</f>
        <v/>
      </c>
      <c r="Z26" s="104" t="str">
        <f>IF(45&lt;=D26,$J26*Z$2*Z$1*(1-(Conditions!$K$20*Conditions!$N$20)),"")</f>
        <v/>
      </c>
      <c r="AA26" s="105" t="str">
        <f>IF(54&lt;=D26,$J26*AA$2*AA$1*(1-(Conditions!$K$20*Conditions!$N$20)),"")</f>
        <v/>
      </c>
    </row>
    <row r="27" spans="1:27" ht="15" thickBot="1" x14ac:dyDescent="0.35">
      <c r="A27" s="67"/>
      <c r="B27" s="60"/>
      <c r="C27" s="61"/>
      <c r="D27" s="77"/>
      <c r="E27" s="77"/>
      <c r="F27" s="62"/>
      <c r="G27" s="63"/>
      <c r="H27" s="72"/>
      <c r="I27" s="73"/>
      <c r="J27" s="73"/>
      <c r="K27" s="80"/>
      <c r="L27" s="138"/>
      <c r="M27" s="139"/>
      <c r="N27" s="139"/>
      <c r="O27" s="139"/>
      <c r="P27" s="139"/>
      <c r="Q27" s="139"/>
      <c r="R27" s="139"/>
      <c r="S27" s="64"/>
      <c r="T27" s="65"/>
      <c r="U27" s="97"/>
      <c r="V27" s="103" t="e">
        <f t="shared" si="1"/>
        <v>#DIV/0!</v>
      </c>
      <c r="W27" s="104" t="str">
        <f>IF(12&lt;=D27,$J27*W$2*W$1*(1-(Conditions!$K$20*Conditions!$N$20)),"")</f>
        <v/>
      </c>
      <c r="X27" s="104" t="str">
        <f>IF(24&lt;=D27,$J27*X$2*X$1*(1-(Conditions!$K$20*Conditions!$N$20)),"")</f>
        <v/>
      </c>
      <c r="Y27" s="104" t="str">
        <f>IF(36&lt;=D27,$J27*Y$2*Y$1*(1-(Conditions!$K$20*Conditions!$N$20)),"")</f>
        <v/>
      </c>
      <c r="Z27" s="104" t="str">
        <f>IF(45&lt;=D27,$J27*Z$2*Z$1*(1-(Conditions!$K$20*Conditions!$N$20)),"")</f>
        <v/>
      </c>
      <c r="AA27" s="105" t="str">
        <f>IF(54&lt;=D27,$J27*AA$2*AA$1*(1-(Conditions!$K$20*Conditions!$N$20)),"")</f>
        <v/>
      </c>
    </row>
    <row r="28" spans="1:27" ht="15" thickBot="1" x14ac:dyDescent="0.35">
      <c r="A28" s="67"/>
      <c r="B28" s="60"/>
      <c r="C28" s="61"/>
      <c r="D28" s="77"/>
      <c r="E28" s="77"/>
      <c r="F28" s="62"/>
      <c r="G28" s="63"/>
      <c r="H28" s="72"/>
      <c r="I28" s="73"/>
      <c r="J28" s="73"/>
      <c r="K28" s="80"/>
      <c r="L28" s="138"/>
      <c r="M28" s="139"/>
      <c r="N28" s="139"/>
      <c r="O28" s="139"/>
      <c r="P28" s="139"/>
      <c r="Q28" s="139"/>
      <c r="R28" s="139"/>
      <c r="S28" s="64"/>
      <c r="T28" s="65"/>
      <c r="U28" s="97"/>
      <c r="V28" s="103" t="e">
        <f t="shared" si="1"/>
        <v>#DIV/0!</v>
      </c>
      <c r="W28" s="104" t="str">
        <f>IF(12&lt;=D28,$J28*W$2*W$1*(1-(Conditions!$K$20*Conditions!$N$20)),"")</f>
        <v/>
      </c>
      <c r="X28" s="104" t="str">
        <f>IF(24&lt;=D28,$J28*X$2*X$1*(1-(Conditions!$K$20*Conditions!$N$20)),"")</f>
        <v/>
      </c>
      <c r="Y28" s="104" t="str">
        <f>IF(36&lt;=D28,$J28*Y$2*Y$1*(1-(Conditions!$K$20*Conditions!$N$20)),"")</f>
        <v/>
      </c>
      <c r="Z28" s="104" t="str">
        <f>IF(45&lt;=D28,$J28*Z$2*Z$1*(1-(Conditions!$K$20*Conditions!$N$20)),"")</f>
        <v/>
      </c>
      <c r="AA28" s="105" t="str">
        <f>IF(54&lt;=D28,$J28*AA$2*AA$1*(1-(Conditions!$K$20*Conditions!$N$20)),"")</f>
        <v/>
      </c>
    </row>
    <row r="29" spans="1:27" ht="15" thickBot="1" x14ac:dyDescent="0.35">
      <c r="A29" s="67"/>
      <c r="B29" s="60"/>
      <c r="C29" s="69"/>
      <c r="D29" s="74"/>
      <c r="E29" s="74"/>
      <c r="F29" s="62"/>
      <c r="G29" s="63"/>
      <c r="H29" s="72"/>
      <c r="I29" s="73"/>
      <c r="J29" s="73"/>
      <c r="K29" s="80"/>
      <c r="L29" s="138"/>
      <c r="M29" s="139"/>
      <c r="N29" s="139"/>
      <c r="O29" s="139"/>
      <c r="P29" s="139"/>
      <c r="Q29" s="139"/>
      <c r="R29" s="139"/>
      <c r="S29" s="64"/>
      <c r="T29" s="65"/>
      <c r="U29" s="97"/>
      <c r="V29" s="103" t="e">
        <f t="shared" si="1"/>
        <v>#DIV/0!</v>
      </c>
      <c r="W29" s="104" t="str">
        <f>IF(12&lt;=D29,$J29*W$2*W$1*(1-(Conditions!$K$20*Conditions!$N$20)),"")</f>
        <v/>
      </c>
      <c r="X29" s="104" t="str">
        <f>IF(24&lt;=D29,$J29*X$2*X$1*(1-(Conditions!$K$20*Conditions!$N$20)),"")</f>
        <v/>
      </c>
      <c r="Y29" s="104" t="str">
        <f>IF(36&lt;=D29,$J29*Y$2*Y$1*(1-(Conditions!$K$20*Conditions!$N$20)),"")</f>
        <v/>
      </c>
      <c r="Z29" s="104" t="str">
        <f>IF(45&lt;=D29,$J29*Z$2*Z$1*(1-(Conditions!$K$20*Conditions!$N$20)),"")</f>
        <v/>
      </c>
      <c r="AA29" s="105" t="str">
        <f>IF(54&lt;=D29,$J29*AA$2*AA$1*(1-(Conditions!$K$20*Conditions!$N$20)),"")</f>
        <v/>
      </c>
    </row>
    <row r="30" spans="1:27" ht="15" thickBot="1" x14ac:dyDescent="0.35">
      <c r="A30" s="70"/>
      <c r="B30" s="60"/>
      <c r="C30" s="69"/>
      <c r="D30" s="74"/>
      <c r="E30" s="74"/>
      <c r="F30" s="62"/>
      <c r="G30" s="63"/>
      <c r="H30" s="72"/>
      <c r="I30" s="73"/>
      <c r="J30" s="73"/>
      <c r="K30" s="80"/>
      <c r="L30" s="138"/>
      <c r="M30" s="139"/>
      <c r="N30" s="139"/>
      <c r="O30" s="139"/>
      <c r="P30" s="139"/>
      <c r="Q30" s="139"/>
      <c r="R30" s="139"/>
      <c r="S30" s="64"/>
      <c r="T30" s="65"/>
      <c r="U30" s="97"/>
      <c r="V30" s="103" t="e">
        <f t="shared" si="1"/>
        <v>#DIV/0!</v>
      </c>
      <c r="W30" s="104" t="str">
        <f>IF(12&lt;=D30,$J30*W$2*W$1*(1-(Conditions!$K$20*Conditions!$N$20)),"")</f>
        <v/>
      </c>
      <c r="X30" s="104" t="str">
        <f>IF(24&lt;=D30,$J30*X$2*X$1*(1-(Conditions!$K$20*Conditions!$N$20)),"")</f>
        <v/>
      </c>
      <c r="Y30" s="104" t="str">
        <f>IF(36&lt;=D30,$J30*Y$2*Y$1*(1-(Conditions!$K$20*Conditions!$N$20)),"")</f>
        <v/>
      </c>
      <c r="Z30" s="104" t="str">
        <f>IF(45&lt;=D30,$J30*Z$2*Z$1*(1-(Conditions!$K$20*Conditions!$N$20)),"")</f>
        <v/>
      </c>
      <c r="AA30" s="105" t="str">
        <f>IF(54&lt;=D30,$J30*AA$2*AA$1*(1-(Conditions!$K$20*Conditions!$N$20)),"")</f>
        <v/>
      </c>
    </row>
    <row r="31" spans="1:27" ht="15" thickBot="1" x14ac:dyDescent="0.35">
      <c r="A31" s="70"/>
      <c r="B31" s="60"/>
      <c r="C31" s="69"/>
      <c r="D31" s="74"/>
      <c r="E31" s="74"/>
      <c r="F31" s="62"/>
      <c r="G31" s="63"/>
      <c r="H31" s="72"/>
      <c r="I31" s="73"/>
      <c r="J31" s="73"/>
      <c r="K31" s="80"/>
      <c r="L31" s="138"/>
      <c r="M31" s="139"/>
      <c r="N31" s="139"/>
      <c r="O31" s="139"/>
      <c r="P31" s="139"/>
      <c r="Q31" s="139"/>
      <c r="R31" s="139"/>
      <c r="S31" s="64"/>
      <c r="T31" s="65"/>
      <c r="U31" s="97"/>
      <c r="V31" s="103" t="e">
        <f t="shared" si="1"/>
        <v>#DIV/0!</v>
      </c>
      <c r="W31" s="104" t="str">
        <f>IF(12&lt;=D31,$J31*W$2*W$1*(1-(Conditions!$K$20*Conditions!$N$20)),"")</f>
        <v/>
      </c>
      <c r="X31" s="104" t="str">
        <f>IF(24&lt;=D31,$J31*X$2*X$1*(1-(Conditions!$K$20*Conditions!$N$20)),"")</f>
        <v/>
      </c>
      <c r="Y31" s="104" t="str">
        <f>IF(36&lt;=D31,$J31*Y$2*Y$1*(1-(Conditions!$K$20*Conditions!$N$20)),"")</f>
        <v/>
      </c>
      <c r="Z31" s="104" t="str">
        <f>IF(45&lt;=D31,$J31*Z$2*Z$1*(1-(Conditions!$K$20*Conditions!$N$20)),"")</f>
        <v/>
      </c>
      <c r="AA31" s="105" t="str">
        <f>IF(54&lt;=D31,$J31*AA$2*AA$1*(1-(Conditions!$K$20*Conditions!$N$20)),"")</f>
        <v/>
      </c>
    </row>
    <row r="32" spans="1:27" ht="15" thickBot="1" x14ac:dyDescent="0.35">
      <c r="A32" s="70"/>
      <c r="B32" s="60"/>
      <c r="C32" s="69"/>
      <c r="D32" s="74"/>
      <c r="E32" s="74"/>
      <c r="F32" s="62"/>
      <c r="G32" s="63"/>
      <c r="H32" s="72"/>
      <c r="I32" s="73"/>
      <c r="J32" s="73"/>
      <c r="K32" s="80"/>
      <c r="L32" s="138"/>
      <c r="M32" s="139"/>
      <c r="N32" s="139"/>
      <c r="O32" s="139"/>
      <c r="P32" s="139"/>
      <c r="Q32" s="139"/>
      <c r="R32" s="139"/>
      <c r="S32" s="64"/>
      <c r="T32" s="65"/>
      <c r="U32" s="97"/>
      <c r="V32" s="103" t="e">
        <f t="shared" si="1"/>
        <v>#DIV/0!</v>
      </c>
      <c r="W32" s="104" t="str">
        <f>IF(12&lt;=D32,$J32*W$2*W$1*(1-(Conditions!$K$20*Conditions!$N$20)),"")</f>
        <v/>
      </c>
      <c r="X32" s="104" t="str">
        <f>IF(24&lt;=D32,$J32*X$2*X$1*(1-(Conditions!$K$20*Conditions!$N$20)),"")</f>
        <v/>
      </c>
      <c r="Y32" s="104" t="str">
        <f>IF(36&lt;=D32,$J32*Y$2*Y$1*(1-(Conditions!$K$20*Conditions!$N$20)),"")</f>
        <v/>
      </c>
      <c r="Z32" s="104" t="str">
        <f>IF(45&lt;=D32,$J32*Z$2*Z$1*(1-(Conditions!$K$20*Conditions!$N$20)),"")</f>
        <v/>
      </c>
      <c r="AA32" s="105" t="str">
        <f>IF(54&lt;=D32,$J32*AA$2*AA$1*(1-(Conditions!$K$20*Conditions!$N$20)),"")</f>
        <v/>
      </c>
    </row>
    <row r="33" spans="1:27" ht="15" thickBot="1" x14ac:dyDescent="0.35">
      <c r="A33" s="70"/>
      <c r="B33" s="60"/>
      <c r="C33" s="69"/>
      <c r="D33" s="74"/>
      <c r="E33" s="74"/>
      <c r="F33" s="62"/>
      <c r="G33" s="63"/>
      <c r="H33" s="72"/>
      <c r="I33" s="73"/>
      <c r="J33" s="73"/>
      <c r="K33" s="80"/>
      <c r="L33" s="138"/>
      <c r="M33" s="139"/>
      <c r="N33" s="139"/>
      <c r="O33" s="139"/>
      <c r="P33" s="139"/>
      <c r="Q33" s="139"/>
      <c r="R33" s="139"/>
      <c r="S33" s="64"/>
      <c r="T33" s="65"/>
      <c r="U33" s="97"/>
      <c r="V33" s="103" t="e">
        <f t="shared" si="1"/>
        <v>#DIV/0!</v>
      </c>
      <c r="W33" s="104" t="str">
        <f>IF(12&lt;=D33,$J33*W$2*W$1*(1-(Conditions!$K$20*Conditions!$N$20)),"")</f>
        <v/>
      </c>
      <c r="X33" s="104" t="str">
        <f>IF(24&lt;=D33,$J33*X$2*X$1*(1-(Conditions!$K$20*Conditions!$N$20)),"")</f>
        <v/>
      </c>
      <c r="Y33" s="104" t="str">
        <f>IF(36&lt;=D33,$J33*Y$2*Y$1*(1-(Conditions!$K$20*Conditions!$N$20)),"")</f>
        <v/>
      </c>
      <c r="Z33" s="104" t="str">
        <f>IF(45&lt;=D33,$J33*Z$2*Z$1*(1-(Conditions!$K$20*Conditions!$N$20)),"")</f>
        <v/>
      </c>
      <c r="AA33" s="105" t="str">
        <f>IF(54&lt;=D33,$J33*AA$2*AA$1*(1-(Conditions!$K$20*Conditions!$N$20)),"")</f>
        <v/>
      </c>
    </row>
    <row r="34" spans="1:27" ht="15" thickBot="1" x14ac:dyDescent="0.35">
      <c r="A34" s="70"/>
      <c r="B34" s="60"/>
      <c r="C34" s="69"/>
      <c r="D34" s="74"/>
      <c r="E34" s="74"/>
      <c r="F34" s="62"/>
      <c r="G34" s="63"/>
      <c r="H34" s="72"/>
      <c r="I34" s="73"/>
      <c r="J34" s="73"/>
      <c r="K34" s="80"/>
      <c r="L34" s="138"/>
      <c r="M34" s="139"/>
      <c r="N34" s="139"/>
      <c r="O34" s="139"/>
      <c r="P34" s="139"/>
      <c r="Q34" s="139"/>
      <c r="R34" s="139"/>
      <c r="S34" s="64"/>
      <c r="T34" s="65"/>
      <c r="U34" s="97"/>
      <c r="V34" s="103" t="e">
        <f t="shared" si="1"/>
        <v>#DIV/0!</v>
      </c>
      <c r="W34" s="104" t="str">
        <f>IF(12&lt;=D34,$J34*W$2*W$1*(1-(Conditions!$K$20*Conditions!$N$20)),"")</f>
        <v/>
      </c>
      <c r="X34" s="104" t="str">
        <f>IF(24&lt;=D34,$J34*X$2*X$1*(1-(Conditions!$K$20*Conditions!$N$20)),"")</f>
        <v/>
      </c>
      <c r="Y34" s="104" t="str">
        <f>IF(36&lt;=D34,$J34*Y$2*Y$1*(1-(Conditions!$K$20*Conditions!$N$20)),"")</f>
        <v/>
      </c>
      <c r="Z34" s="104" t="str">
        <f>IF(45&lt;=D34,$J34*Z$2*Z$1*(1-(Conditions!$K$20*Conditions!$N$20)),"")</f>
        <v/>
      </c>
      <c r="AA34" s="105" t="str">
        <f>IF(54&lt;=D34,$J34*AA$2*AA$1*(1-(Conditions!$K$20*Conditions!$N$20)),"")</f>
        <v/>
      </c>
    </row>
  </sheetData>
  <mergeCells count="2">
    <mergeCell ref="L1:T1"/>
    <mergeCell ref="B1:K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&amp;C&amp;1#&amp;"Arial"&amp;8&amp;K001753Internal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M33"/>
  <sheetViews>
    <sheetView zoomScale="85" zoomScaleNormal="85" workbookViewId="0">
      <selection activeCell="A7" sqref="A7"/>
    </sheetView>
  </sheetViews>
  <sheetFormatPr defaultColWidth="9.109375" defaultRowHeight="14.4" x14ac:dyDescent="0.3"/>
  <cols>
    <col min="1" max="1" width="31.88671875" customWidth="1"/>
    <col min="2" max="2" width="6.33203125" bestFit="1" customWidth="1"/>
    <col min="3" max="3" width="6.109375" bestFit="1" customWidth="1"/>
    <col min="4" max="4" width="7.33203125" customWidth="1"/>
    <col min="5" max="5" width="7.5546875" customWidth="1"/>
    <col min="6" max="6" width="10.88671875" customWidth="1"/>
    <col min="7" max="7" width="11.44140625" customWidth="1"/>
    <col min="8" max="8" width="9.5546875" customWidth="1"/>
    <col min="9" max="9" width="10.88671875" style="160" customWidth="1"/>
    <col min="10" max="10" width="12.33203125" style="160" customWidth="1"/>
    <col min="11" max="11" width="9.109375" customWidth="1"/>
    <col min="12" max="12" width="10.5546875" customWidth="1"/>
    <col min="13" max="13" width="7.5546875" customWidth="1"/>
    <col min="14" max="14" width="10.5546875" customWidth="1"/>
    <col min="15" max="15" width="7.5546875" customWidth="1"/>
    <col min="16" max="16" width="8.44140625" customWidth="1"/>
    <col min="17" max="17" width="7.5546875" style="160" customWidth="1"/>
    <col min="18" max="18" width="14.109375" customWidth="1"/>
    <col min="21" max="21" width="10.6640625" style="160" customWidth="1"/>
    <col min="22" max="22" width="8.109375" customWidth="1"/>
    <col min="23" max="23" width="12.33203125" customWidth="1"/>
    <col min="24" max="24" width="10.44140625" customWidth="1"/>
    <col min="25" max="25" width="10.6640625" customWidth="1"/>
    <col min="26" max="26" width="11.44140625" customWidth="1"/>
    <col min="27" max="27" width="8" customWidth="1"/>
    <col min="28" max="28" width="7.44140625" customWidth="1"/>
    <col min="29" max="29" width="9.109375" style="160"/>
    <col min="34" max="34" width="11.109375" bestFit="1" customWidth="1"/>
    <col min="36" max="36" width="12.6640625" bestFit="1" customWidth="1"/>
    <col min="38" max="38" width="12.44140625" bestFit="1" customWidth="1"/>
  </cols>
  <sheetData>
    <row r="1" spans="1:31" ht="16.5" customHeight="1" thickBot="1" x14ac:dyDescent="0.35">
      <c r="A1" s="252" t="s">
        <v>117</v>
      </c>
      <c r="B1" s="253"/>
      <c r="C1" s="253"/>
      <c r="D1" s="253"/>
      <c r="E1" s="254"/>
      <c r="F1" s="264" t="s">
        <v>23</v>
      </c>
      <c r="G1" s="265"/>
      <c r="H1" s="265"/>
      <c r="I1" s="266"/>
      <c r="J1" s="261" t="s">
        <v>24</v>
      </c>
      <c r="K1" s="262"/>
      <c r="L1" s="262"/>
      <c r="M1" s="262"/>
      <c r="N1" s="262"/>
      <c r="O1" s="262"/>
      <c r="P1" s="262"/>
      <c r="Q1" s="263"/>
      <c r="R1" s="258" t="s">
        <v>25</v>
      </c>
      <c r="S1" s="259"/>
      <c r="T1" s="259"/>
      <c r="U1" s="260"/>
      <c r="V1" s="252" t="s">
        <v>116</v>
      </c>
      <c r="W1" s="253"/>
      <c r="X1" s="253"/>
      <c r="Y1" s="253"/>
      <c r="Z1" s="253"/>
      <c r="AA1" s="253"/>
      <c r="AB1" s="253"/>
      <c r="AC1" s="254"/>
    </row>
    <row r="2" spans="1:31" ht="57" customHeight="1" thickBot="1" x14ac:dyDescent="0.35">
      <c r="A2" s="4" t="s">
        <v>6</v>
      </c>
      <c r="B2" s="4" t="s">
        <v>31</v>
      </c>
      <c r="C2" s="4" t="s">
        <v>32</v>
      </c>
      <c r="D2" s="1" t="s">
        <v>1</v>
      </c>
      <c r="E2" s="1" t="s">
        <v>0</v>
      </c>
      <c r="F2" s="186" t="s">
        <v>134</v>
      </c>
      <c r="G2" s="6" t="s">
        <v>113</v>
      </c>
      <c r="H2" s="6" t="s">
        <v>14</v>
      </c>
      <c r="I2" s="10" t="s">
        <v>114</v>
      </c>
      <c r="J2" s="187" t="s">
        <v>135</v>
      </c>
      <c r="K2" s="5" t="s">
        <v>115</v>
      </c>
      <c r="L2" s="5" t="s">
        <v>17</v>
      </c>
      <c r="M2" s="5" t="s">
        <v>15</v>
      </c>
      <c r="N2" s="5" t="s">
        <v>18</v>
      </c>
      <c r="O2" s="5" t="s">
        <v>16</v>
      </c>
      <c r="P2" s="5" t="s">
        <v>98</v>
      </c>
      <c r="Q2" s="11" t="s">
        <v>19</v>
      </c>
      <c r="R2" s="13" t="s">
        <v>136</v>
      </c>
      <c r="S2" s="13" t="s">
        <v>20</v>
      </c>
      <c r="T2" s="13" t="s">
        <v>21</v>
      </c>
      <c r="U2" s="12" t="s">
        <v>22</v>
      </c>
      <c r="V2" s="3" t="s">
        <v>2</v>
      </c>
      <c r="W2" s="255" t="s">
        <v>139</v>
      </c>
      <c r="X2" s="256"/>
      <c r="Y2" s="257"/>
      <c r="Z2" s="3" t="s">
        <v>3</v>
      </c>
      <c r="AA2" s="3" t="s">
        <v>131</v>
      </c>
      <c r="AB2" s="3" t="s">
        <v>4</v>
      </c>
      <c r="AC2" s="20" t="s">
        <v>5</v>
      </c>
    </row>
    <row r="3" spans="1:31" ht="15" thickBot="1" x14ac:dyDescent="0.35">
      <c r="A3" s="155" t="str">
        <f>Leasing!A3</f>
        <v>Caravelle Trendline L TDI</v>
      </c>
      <c r="B3" s="156" t="str">
        <f>Leasing!B3</f>
        <v>TDI</v>
      </c>
      <c r="C3" s="157">
        <f>ROUND(Leasing!C3*1.36,0)</f>
        <v>110</v>
      </c>
      <c r="D3" s="158">
        <f>Leasing!D3</f>
        <v>48</v>
      </c>
      <c r="E3" s="158">
        <f>Leasing!E3</f>
        <v>50000</v>
      </c>
      <c r="F3" s="197"/>
      <c r="G3" s="22"/>
      <c r="H3" s="159">
        <f>G3*4/100</f>
        <v>0</v>
      </c>
      <c r="I3" s="24">
        <f>(G3+H3)/1.95583/1.2/D3</f>
        <v>0</v>
      </c>
      <c r="J3" s="198"/>
      <c r="K3" s="199"/>
      <c r="L3" s="194"/>
      <c r="M3" s="196"/>
      <c r="N3" s="194"/>
      <c r="O3" s="196"/>
      <c r="P3" s="144">
        <f>data!$U$15</f>
        <v>6.7107059407003673</v>
      </c>
      <c r="Q3" s="23">
        <f>(L3*M3+N3*O3)/1.2/1.95583/D3+P3</f>
        <v>6.7107059407003673</v>
      </c>
      <c r="R3" s="21" t="s">
        <v>137</v>
      </c>
      <c r="S3" s="21">
        <v>6</v>
      </c>
      <c r="T3" s="15">
        <v>35</v>
      </c>
      <c r="U3" s="14">
        <f>S3*T3/12</f>
        <v>17.5</v>
      </c>
      <c r="V3" s="18">
        <f>Conditions!$B$19</f>
        <v>0</v>
      </c>
      <c r="W3" s="205">
        <v>0</v>
      </c>
      <c r="X3" s="203">
        <v>0</v>
      </c>
      <c r="Y3" s="145">
        <f>IF(W3="Premium",7.81*(1+X3),IF(W3="Standard",3.43*(1+X3),IF(W3="Economy",2.54*(1+X3), IF(W3="Economy GSB",1.27*(1+X3),0))))</f>
        <v>0</v>
      </c>
      <c r="Z3" s="18">
        <v>0</v>
      </c>
      <c r="AA3" s="145">
        <f>IF(Conditions!F4="M1",IF(AND(Conditions!H4/12&gt;2,Conditions!H4/12&lt;5),70/1.95583/1.2/Conditions!H4,IF(Conditions!H4/12=5,140/1.95583/1.2/Conditions!H4,0)),70/1.95583/1.2/12)</f>
        <v>0.62136166117595992</v>
      </c>
      <c r="AB3" s="146">
        <f>(97/12/1.95583)</f>
        <v>4.1329427063360997</v>
      </c>
      <c r="AC3" s="7">
        <f>I3+Q3+U3+V3+Y3+Z3+AA3+AB3</f>
        <v>28.965010308212428</v>
      </c>
      <c r="AE3" s="115"/>
    </row>
    <row r="4" spans="1:31" ht="15" thickBot="1" x14ac:dyDescent="0.35">
      <c r="A4" s="155" t="str">
        <f>Leasing!A4</f>
        <v>Arteon PA R-Line 2.0 TSI OPF 4MOTION DSG</v>
      </c>
      <c r="B4" s="156" t="str">
        <f>Leasing!B4</f>
        <v>TSI</v>
      </c>
      <c r="C4" s="157">
        <f>ROUND(Leasing!C4*1.36,0)</f>
        <v>280</v>
      </c>
      <c r="D4" s="158">
        <f>Leasing!D4</f>
        <v>48</v>
      </c>
      <c r="E4" s="158">
        <f>Leasing!E4</f>
        <v>50000</v>
      </c>
      <c r="F4" s="197"/>
      <c r="G4" s="22"/>
      <c r="H4" s="159">
        <f>G4*4/100</f>
        <v>0</v>
      </c>
      <c r="I4" s="24">
        <f>(G4+H4)/1.95583/1.2/D4</f>
        <v>0</v>
      </c>
      <c r="J4" s="198"/>
      <c r="K4" s="199"/>
      <c r="L4" s="194"/>
      <c r="M4" s="196"/>
      <c r="N4" s="194"/>
      <c r="O4" s="196"/>
      <c r="P4" s="144">
        <f>data!$U$15</f>
        <v>6.7107059407003673</v>
      </c>
      <c r="Q4" s="23">
        <f>(L4*M4+N4*O4)/1.2/1.95583/D4+P4</f>
        <v>6.7107059407003673</v>
      </c>
      <c r="R4" s="21"/>
      <c r="S4" s="21">
        <v>6</v>
      </c>
      <c r="T4" s="15">
        <v>35</v>
      </c>
      <c r="U4" s="14">
        <f>S4*T4/12</f>
        <v>17.5</v>
      </c>
      <c r="V4" s="18">
        <f>Conditions!$B$19</f>
        <v>0</v>
      </c>
      <c r="W4" s="205">
        <v>0</v>
      </c>
      <c r="X4" s="203">
        <v>0</v>
      </c>
      <c r="Y4" s="145">
        <f t="shared" ref="Y4" si="0">IF(W4="Premium",7.81*(1+X4),IF(W4="Standard",3.43*(1+X4),IF(W4="Economy",2.54*(1+X4), IF(W4="Economy GSB",1.27*(1+X4),0))))</f>
        <v>0</v>
      </c>
      <c r="Z4" s="18">
        <v>0</v>
      </c>
      <c r="AA4" s="145">
        <f>IF(Conditions!F5="M1",IF(AND(Conditions!H5/12&gt;2,Conditions!H5/12&lt;5),70/1.95583/1.2/Conditions!H5,IF(Conditions!H5/12=5,140/1.95583/1.2/Conditions!H5,0)),70/1.95583/1.2/12)</f>
        <v>0.62136166117595992</v>
      </c>
      <c r="AB4" s="146">
        <f>(97/12/1.95583)</f>
        <v>4.1329427063360997</v>
      </c>
      <c r="AC4" s="7">
        <f>I4+Q4+U4+V4+Y4+Z4+AA4+AB4</f>
        <v>28.965010308212428</v>
      </c>
      <c r="AE4" s="115"/>
    </row>
    <row r="5" spans="1:31" ht="15" thickBot="1" x14ac:dyDescent="0.35">
      <c r="A5" s="155"/>
      <c r="B5" s="156"/>
      <c r="C5" s="157"/>
      <c r="D5" s="158"/>
      <c r="E5" s="158"/>
      <c r="F5" s="197"/>
      <c r="G5" s="22"/>
      <c r="H5" s="159"/>
      <c r="I5" s="24"/>
      <c r="J5" s="198"/>
      <c r="K5" s="199"/>
      <c r="L5" s="194"/>
      <c r="M5" s="196"/>
      <c r="N5" s="194"/>
      <c r="O5" s="196"/>
      <c r="P5" s="144"/>
      <c r="Q5" s="23"/>
      <c r="R5" s="21"/>
      <c r="S5" s="21"/>
      <c r="T5" s="15"/>
      <c r="U5" s="14"/>
      <c r="V5" s="18"/>
      <c r="W5" s="205"/>
      <c r="X5" s="18"/>
      <c r="Y5" s="145"/>
      <c r="Z5" s="18"/>
      <c r="AA5" s="145"/>
      <c r="AB5" s="146"/>
      <c r="AC5" s="7"/>
      <c r="AE5" s="115"/>
    </row>
    <row r="6" spans="1:31" ht="15" thickBot="1" x14ac:dyDescent="0.35">
      <c r="A6" s="155"/>
      <c r="B6" s="156"/>
      <c r="C6" s="157"/>
      <c r="D6" s="158"/>
      <c r="E6" s="158"/>
      <c r="F6" s="197"/>
      <c r="G6" s="22"/>
      <c r="H6" s="159"/>
      <c r="I6" s="24"/>
      <c r="J6" s="198"/>
      <c r="K6" s="199"/>
      <c r="L6" s="194"/>
      <c r="M6" s="196"/>
      <c r="N6" s="194"/>
      <c r="O6" s="196"/>
      <c r="P6" s="144"/>
      <c r="Q6" s="23"/>
      <c r="R6" s="21"/>
      <c r="S6" s="21"/>
      <c r="T6" s="15"/>
      <c r="U6" s="14"/>
      <c r="V6" s="18"/>
      <c r="W6" s="205"/>
      <c r="X6" s="18"/>
      <c r="Y6" s="145"/>
      <c r="Z6" s="18"/>
      <c r="AA6" s="145"/>
      <c r="AB6" s="146"/>
      <c r="AC6" s="7"/>
      <c r="AE6" s="115"/>
    </row>
    <row r="7" spans="1:31" ht="15" thickBot="1" x14ac:dyDescent="0.35">
      <c r="A7" s="155"/>
      <c r="B7" s="156"/>
      <c r="C7" s="157"/>
      <c r="D7" s="158"/>
      <c r="E7" s="158"/>
      <c r="F7" s="197"/>
      <c r="G7" s="22"/>
      <c r="H7" s="159"/>
      <c r="I7" s="24"/>
      <c r="J7" s="198"/>
      <c r="K7" s="199"/>
      <c r="L7" s="194"/>
      <c r="M7" s="196"/>
      <c r="N7" s="194"/>
      <c r="O7" s="196"/>
      <c r="P7" s="144"/>
      <c r="Q7" s="23"/>
      <c r="R7" s="21"/>
      <c r="S7" s="21"/>
      <c r="T7" s="15"/>
      <c r="U7" s="14"/>
      <c r="V7" s="18"/>
      <c r="W7" s="205"/>
      <c r="X7" s="18"/>
      <c r="Y7" s="145"/>
      <c r="Z7" s="18"/>
      <c r="AA7" s="145"/>
      <c r="AB7" s="146"/>
      <c r="AC7" s="7"/>
      <c r="AE7" s="115"/>
    </row>
    <row r="8" spans="1:31" ht="15" thickBot="1" x14ac:dyDescent="0.35">
      <c r="A8" s="155"/>
      <c r="B8" s="156"/>
      <c r="C8" s="157"/>
      <c r="D8" s="158"/>
      <c r="E8" s="158"/>
      <c r="F8" s="197"/>
      <c r="G8" s="22"/>
      <c r="H8" s="159"/>
      <c r="I8" s="24"/>
      <c r="J8" s="198"/>
      <c r="K8" s="199"/>
      <c r="L8" s="194"/>
      <c r="M8" s="196"/>
      <c r="N8" s="194"/>
      <c r="O8" s="196"/>
      <c r="P8" s="144"/>
      <c r="Q8" s="23"/>
      <c r="R8" s="21"/>
      <c r="S8" s="21"/>
      <c r="T8" s="15"/>
      <c r="U8" s="14"/>
      <c r="V8" s="18"/>
      <c r="W8" s="205"/>
      <c r="X8" s="18"/>
      <c r="Y8" s="145"/>
      <c r="Z8" s="18"/>
      <c r="AA8" s="145"/>
      <c r="AB8" s="146"/>
      <c r="AC8" s="7"/>
      <c r="AE8" s="115"/>
    </row>
    <row r="9" spans="1:31" ht="15" thickBot="1" x14ac:dyDescent="0.35">
      <c r="A9" s="155"/>
      <c r="B9" s="156"/>
      <c r="C9" s="157"/>
      <c r="D9" s="158"/>
      <c r="E9" s="158"/>
      <c r="F9" s="197"/>
      <c r="G9" s="22"/>
      <c r="H9" s="159"/>
      <c r="I9" s="24"/>
      <c r="J9" s="198"/>
      <c r="K9" s="199"/>
      <c r="L9" s="194"/>
      <c r="M9" s="196"/>
      <c r="N9" s="194"/>
      <c r="O9" s="196"/>
      <c r="P9" s="144"/>
      <c r="Q9" s="23"/>
      <c r="R9" s="21"/>
      <c r="S9" s="21"/>
      <c r="T9" s="15"/>
      <c r="U9" s="14"/>
      <c r="V9" s="18"/>
      <c r="W9" s="205"/>
      <c r="X9" s="18"/>
      <c r="Y9" s="145"/>
      <c r="Z9" s="18"/>
      <c r="AA9" s="145"/>
      <c r="AB9" s="146"/>
      <c r="AC9" s="7"/>
      <c r="AE9" s="115"/>
    </row>
    <row r="10" spans="1:31" ht="15" thickBot="1" x14ac:dyDescent="0.35">
      <c r="A10" s="155"/>
      <c r="B10" s="156"/>
      <c r="C10" s="157"/>
      <c r="D10" s="158"/>
      <c r="E10" s="158"/>
      <c r="F10" s="197"/>
      <c r="G10" s="22"/>
      <c r="H10" s="159"/>
      <c r="I10" s="24"/>
      <c r="J10" s="198"/>
      <c r="K10" s="199"/>
      <c r="L10" s="194"/>
      <c r="M10" s="196"/>
      <c r="N10" s="194"/>
      <c r="O10" s="196"/>
      <c r="P10" s="144"/>
      <c r="Q10" s="23"/>
      <c r="R10" s="21"/>
      <c r="S10" s="21"/>
      <c r="T10" s="15"/>
      <c r="U10" s="14"/>
      <c r="V10" s="18"/>
      <c r="W10" s="205"/>
      <c r="X10" s="18"/>
      <c r="Y10" s="145"/>
      <c r="Z10" s="18"/>
      <c r="AA10" s="145"/>
      <c r="AB10" s="146"/>
      <c r="AC10" s="7"/>
      <c r="AE10" s="115"/>
    </row>
    <row r="11" spans="1:31" ht="15" thickBot="1" x14ac:dyDescent="0.35">
      <c r="A11" s="2"/>
      <c r="B11" s="16"/>
      <c r="C11" s="25"/>
      <c r="D11" s="17"/>
      <c r="E11" s="17"/>
      <c r="F11" s="197"/>
      <c r="G11" s="22"/>
      <c r="H11" s="22"/>
      <c r="I11" s="24"/>
      <c r="J11" s="198"/>
      <c r="K11" s="199"/>
      <c r="L11" s="195"/>
      <c r="M11" s="196"/>
      <c r="N11" s="195"/>
      <c r="O11" s="196"/>
      <c r="P11" s="9"/>
      <c r="Q11" s="23"/>
      <c r="R11" s="21"/>
      <c r="S11" s="21"/>
      <c r="T11" s="15"/>
      <c r="U11" s="14"/>
      <c r="V11" s="18"/>
      <c r="W11" s="205"/>
      <c r="X11" s="18"/>
      <c r="Y11" s="145"/>
      <c r="Z11" s="18"/>
      <c r="AA11" s="145"/>
      <c r="AB11" s="146"/>
      <c r="AC11" s="7"/>
    </row>
    <row r="12" spans="1:31" ht="15" thickBot="1" x14ac:dyDescent="0.35">
      <c r="A12" s="2"/>
      <c r="B12" s="16"/>
      <c r="C12" s="25"/>
      <c r="D12" s="17"/>
      <c r="E12" s="17"/>
      <c r="F12" s="197"/>
      <c r="G12" s="22"/>
      <c r="H12" s="22"/>
      <c r="I12" s="24"/>
      <c r="J12" s="198"/>
      <c r="K12" s="199"/>
      <c r="L12" s="195"/>
      <c r="M12" s="196"/>
      <c r="N12" s="195"/>
      <c r="O12" s="196"/>
      <c r="P12" s="9"/>
      <c r="Q12" s="23"/>
      <c r="R12" s="21"/>
      <c r="S12" s="21"/>
      <c r="T12" s="15"/>
      <c r="U12" s="14"/>
      <c r="V12" s="18"/>
      <c r="W12" s="205"/>
      <c r="X12" s="18"/>
      <c r="Y12" s="145"/>
      <c r="Z12" s="18"/>
      <c r="AA12" s="145"/>
      <c r="AB12" s="146"/>
      <c r="AC12" s="7"/>
    </row>
    <row r="13" spans="1:31" ht="15" thickBot="1" x14ac:dyDescent="0.35">
      <c r="A13" s="2"/>
      <c r="B13" s="16"/>
      <c r="C13" s="25"/>
      <c r="D13" s="17"/>
      <c r="E13" s="17"/>
      <c r="F13" s="197"/>
      <c r="G13" s="22"/>
      <c r="H13" s="22"/>
      <c r="I13" s="24"/>
      <c r="J13" s="198"/>
      <c r="K13" s="199"/>
      <c r="L13" s="195"/>
      <c r="M13" s="196"/>
      <c r="N13" s="195"/>
      <c r="O13" s="196"/>
      <c r="P13" s="9"/>
      <c r="Q13" s="23"/>
      <c r="R13" s="21"/>
      <c r="S13" s="21"/>
      <c r="T13" s="15"/>
      <c r="U13" s="14"/>
      <c r="V13" s="18"/>
      <c r="W13" s="205"/>
      <c r="X13" s="18"/>
      <c r="Y13" s="145"/>
      <c r="Z13" s="18"/>
      <c r="AA13" s="145"/>
      <c r="AB13" s="146"/>
      <c r="AC13" s="7"/>
    </row>
    <row r="14" spans="1:31" ht="15" thickBot="1" x14ac:dyDescent="0.35">
      <c r="A14" s="2"/>
      <c r="B14" s="16"/>
      <c r="C14" s="25"/>
      <c r="D14" s="17"/>
      <c r="E14" s="17"/>
      <c r="F14" s="197"/>
      <c r="G14" s="22"/>
      <c r="H14" s="22"/>
      <c r="I14" s="24"/>
      <c r="J14" s="198"/>
      <c r="K14" s="199"/>
      <c r="L14" s="195"/>
      <c r="M14" s="196"/>
      <c r="N14" s="195"/>
      <c r="O14" s="196"/>
      <c r="P14" s="9"/>
      <c r="Q14" s="23"/>
      <c r="R14" s="21"/>
      <c r="S14" s="21"/>
      <c r="T14" s="15"/>
      <c r="U14" s="14"/>
      <c r="V14" s="18"/>
      <c r="W14" s="205"/>
      <c r="X14" s="18"/>
      <c r="Y14" s="145"/>
      <c r="Z14" s="18"/>
      <c r="AA14" s="145"/>
      <c r="AB14" s="146"/>
      <c r="AC14" s="7"/>
      <c r="AD14" s="115"/>
    </row>
    <row r="15" spans="1:31" ht="15" thickBot="1" x14ac:dyDescent="0.35">
      <c r="A15" s="2"/>
      <c r="B15" s="16"/>
      <c r="C15" s="25"/>
      <c r="D15" s="17"/>
      <c r="E15" s="17"/>
      <c r="F15" s="197"/>
      <c r="G15" s="22"/>
      <c r="H15" s="22"/>
      <c r="I15" s="24"/>
      <c r="J15" s="198"/>
      <c r="K15" s="199"/>
      <c r="L15" s="195"/>
      <c r="M15" s="196"/>
      <c r="N15" s="195"/>
      <c r="O15" s="196"/>
      <c r="P15" s="9"/>
      <c r="Q15" s="23"/>
      <c r="R15" s="21"/>
      <c r="S15" s="21"/>
      <c r="T15" s="15"/>
      <c r="U15" s="14"/>
      <c r="V15" s="18"/>
      <c r="W15" s="205"/>
      <c r="X15" s="18"/>
      <c r="Y15" s="145"/>
      <c r="Z15" s="18"/>
      <c r="AA15" s="145"/>
      <c r="AB15" s="146"/>
      <c r="AC15" s="7"/>
    </row>
    <row r="16" spans="1:31" ht="15" thickBot="1" x14ac:dyDescent="0.35">
      <c r="A16" s="2"/>
      <c r="B16" s="16"/>
      <c r="C16" s="25"/>
      <c r="D16" s="17"/>
      <c r="E16" s="17"/>
      <c r="F16" s="197"/>
      <c r="G16" s="22"/>
      <c r="H16" s="22"/>
      <c r="I16" s="24"/>
      <c r="J16" s="198"/>
      <c r="K16" s="199"/>
      <c r="L16" s="195"/>
      <c r="M16" s="196"/>
      <c r="N16" s="195"/>
      <c r="O16" s="196"/>
      <c r="P16" s="9"/>
      <c r="Q16" s="23"/>
      <c r="R16" s="21"/>
      <c r="S16" s="21"/>
      <c r="T16" s="15"/>
      <c r="U16" s="14"/>
      <c r="V16" s="18"/>
      <c r="W16" s="205"/>
      <c r="X16" s="18"/>
      <c r="Y16" s="145"/>
      <c r="Z16" s="18"/>
      <c r="AA16" s="145"/>
      <c r="AB16" s="146"/>
      <c r="AC16" s="7"/>
    </row>
    <row r="17" spans="1:39" ht="15" thickBot="1" x14ac:dyDescent="0.35">
      <c r="A17" s="2"/>
      <c r="B17" s="16"/>
      <c r="C17" s="25"/>
      <c r="D17" s="17"/>
      <c r="E17" s="17"/>
      <c r="F17" s="197"/>
      <c r="G17" s="22"/>
      <c r="H17" s="22"/>
      <c r="I17" s="24"/>
      <c r="J17" s="198"/>
      <c r="K17" s="199"/>
      <c r="L17" s="195"/>
      <c r="M17" s="196"/>
      <c r="N17" s="195"/>
      <c r="O17" s="196"/>
      <c r="P17" s="9"/>
      <c r="Q17" s="23"/>
      <c r="R17" s="21"/>
      <c r="S17" s="21"/>
      <c r="T17" s="15"/>
      <c r="U17" s="14"/>
      <c r="V17" s="18"/>
      <c r="W17" s="205"/>
      <c r="X17" s="18"/>
      <c r="Y17" s="145"/>
      <c r="Z17" s="18"/>
      <c r="AA17" s="145"/>
      <c r="AB17" s="146"/>
      <c r="AC17" s="7"/>
    </row>
    <row r="18" spans="1:39" ht="15" thickBot="1" x14ac:dyDescent="0.35">
      <c r="A18" s="2"/>
      <c r="B18" s="16"/>
      <c r="C18" s="25"/>
      <c r="D18" s="17"/>
      <c r="E18" s="17"/>
      <c r="F18" s="197"/>
      <c r="G18" s="22"/>
      <c r="H18" s="22"/>
      <c r="I18" s="24"/>
      <c r="J18" s="198"/>
      <c r="K18" s="199"/>
      <c r="L18" s="195"/>
      <c r="M18" s="196"/>
      <c r="N18" s="195"/>
      <c r="O18" s="196"/>
      <c r="P18" s="9"/>
      <c r="Q18" s="23"/>
      <c r="R18" s="21"/>
      <c r="S18" s="21"/>
      <c r="T18" s="15"/>
      <c r="U18" s="14"/>
      <c r="V18" s="18"/>
      <c r="W18" s="205"/>
      <c r="X18" s="18"/>
      <c r="Y18" s="145"/>
      <c r="Z18" s="18"/>
      <c r="AA18" s="145"/>
      <c r="AB18" s="146"/>
      <c r="AC18" s="7"/>
    </row>
    <row r="19" spans="1:39" ht="15" thickBot="1" x14ac:dyDescent="0.35">
      <c r="A19" s="2"/>
      <c r="B19" s="16"/>
      <c r="C19" s="25"/>
      <c r="D19" s="17"/>
      <c r="E19" s="17"/>
      <c r="F19" s="197"/>
      <c r="G19" s="22"/>
      <c r="H19" s="22"/>
      <c r="I19" s="24"/>
      <c r="J19" s="198"/>
      <c r="K19" s="199"/>
      <c r="L19" s="195"/>
      <c r="M19" s="196"/>
      <c r="N19" s="195"/>
      <c r="O19" s="196"/>
      <c r="P19" s="9"/>
      <c r="Q19" s="23"/>
      <c r="R19" s="21"/>
      <c r="S19" s="21"/>
      <c r="T19" s="15"/>
      <c r="U19" s="14"/>
      <c r="V19" s="18"/>
      <c r="W19" s="205"/>
      <c r="X19" s="18"/>
      <c r="Y19" s="145"/>
      <c r="Z19" s="18"/>
      <c r="AA19" s="145"/>
      <c r="AB19" s="146"/>
      <c r="AC19" s="7"/>
    </row>
    <row r="20" spans="1:39" ht="15" thickBot="1" x14ac:dyDescent="0.35">
      <c r="A20" s="2"/>
      <c r="B20" s="16"/>
      <c r="C20" s="25"/>
      <c r="D20" s="17"/>
      <c r="E20" s="17"/>
      <c r="F20" s="197"/>
      <c r="G20" s="22"/>
      <c r="H20" s="22"/>
      <c r="I20" s="24"/>
      <c r="J20" s="198"/>
      <c r="K20" s="199"/>
      <c r="L20" s="195"/>
      <c r="M20" s="196"/>
      <c r="N20" s="195"/>
      <c r="O20" s="196"/>
      <c r="P20" s="9"/>
      <c r="Q20" s="23"/>
      <c r="R20" s="21"/>
      <c r="S20" s="21"/>
      <c r="T20" s="15"/>
      <c r="U20" s="14"/>
      <c r="V20" s="18"/>
      <c r="W20" s="205"/>
      <c r="X20" s="18"/>
      <c r="Y20" s="145"/>
      <c r="Z20" s="18"/>
      <c r="AA20" s="18"/>
      <c r="AB20" s="18"/>
      <c r="AC20" s="7"/>
      <c r="AM20" s="130"/>
    </row>
    <row r="21" spans="1:39" ht="15" thickBot="1" x14ac:dyDescent="0.35">
      <c r="A21" s="2"/>
      <c r="B21" s="16"/>
      <c r="C21" s="25"/>
      <c r="D21" s="17"/>
      <c r="E21" s="17"/>
      <c r="F21" s="197"/>
      <c r="G21" s="22"/>
      <c r="H21" s="22"/>
      <c r="I21" s="24"/>
      <c r="J21" s="198"/>
      <c r="K21" s="199"/>
      <c r="L21" s="195"/>
      <c r="M21" s="196"/>
      <c r="N21" s="195"/>
      <c r="O21" s="196"/>
      <c r="P21" s="9"/>
      <c r="Q21" s="23"/>
      <c r="R21" s="21"/>
      <c r="S21" s="21"/>
      <c r="T21" s="15"/>
      <c r="U21" s="14"/>
      <c r="V21" s="18"/>
      <c r="W21" s="205"/>
      <c r="X21" s="18"/>
      <c r="Y21" s="145"/>
      <c r="Z21" s="18"/>
      <c r="AA21" s="18"/>
      <c r="AB21" s="18"/>
      <c r="AC21" s="7"/>
      <c r="AM21" s="130"/>
    </row>
    <row r="22" spans="1:39" ht="15" thickBot="1" x14ac:dyDescent="0.35">
      <c r="A22" s="2"/>
      <c r="B22" s="16"/>
      <c r="C22" s="25"/>
      <c r="D22" s="17"/>
      <c r="E22" s="17"/>
      <c r="F22" s="197"/>
      <c r="G22" s="22"/>
      <c r="H22" s="22"/>
      <c r="I22" s="24"/>
      <c r="J22" s="198"/>
      <c r="K22" s="199"/>
      <c r="L22" s="195"/>
      <c r="M22" s="196"/>
      <c r="N22" s="195"/>
      <c r="O22" s="196"/>
      <c r="P22" s="9"/>
      <c r="Q22" s="23"/>
      <c r="R22" s="21"/>
      <c r="S22" s="21"/>
      <c r="T22" s="15"/>
      <c r="U22" s="14"/>
      <c r="V22" s="18"/>
      <c r="W22" s="205"/>
      <c r="X22" s="18"/>
      <c r="Y22" s="145"/>
      <c r="Z22" s="18"/>
      <c r="AA22" s="18"/>
      <c r="AB22" s="18"/>
      <c r="AC22" s="7"/>
    </row>
    <row r="23" spans="1:39" ht="15" thickBot="1" x14ac:dyDescent="0.35">
      <c r="A23" s="2"/>
      <c r="B23" s="16"/>
      <c r="C23" s="25"/>
      <c r="D23" s="17"/>
      <c r="E23" s="17"/>
      <c r="F23" s="197"/>
      <c r="G23" s="22"/>
      <c r="H23" s="22"/>
      <c r="I23" s="24"/>
      <c r="J23" s="198"/>
      <c r="K23" s="199"/>
      <c r="L23" s="195"/>
      <c r="M23" s="196"/>
      <c r="N23" s="195"/>
      <c r="O23" s="196"/>
      <c r="P23" s="9"/>
      <c r="Q23" s="23"/>
      <c r="R23" s="21"/>
      <c r="S23" s="21"/>
      <c r="T23" s="15"/>
      <c r="U23" s="14"/>
      <c r="V23" s="18"/>
      <c r="W23" s="205"/>
      <c r="X23" s="18"/>
      <c r="Y23" s="145"/>
      <c r="Z23" s="18"/>
      <c r="AA23" s="18"/>
      <c r="AB23" s="18"/>
      <c r="AC23" s="7"/>
    </row>
    <row r="24" spans="1:39" ht="15" thickBot="1" x14ac:dyDescent="0.35">
      <c r="A24" s="2"/>
      <c r="B24" s="16"/>
      <c r="C24" s="25"/>
      <c r="D24" s="17"/>
      <c r="E24" s="17"/>
      <c r="F24" s="197"/>
      <c r="G24" s="22"/>
      <c r="H24" s="22"/>
      <c r="I24" s="24"/>
      <c r="J24" s="198"/>
      <c r="K24" s="199"/>
      <c r="L24" s="195"/>
      <c r="M24" s="196"/>
      <c r="N24" s="195"/>
      <c r="O24" s="196"/>
      <c r="P24" s="9"/>
      <c r="Q24" s="23"/>
      <c r="R24" s="21"/>
      <c r="S24" s="21"/>
      <c r="T24" s="15"/>
      <c r="U24" s="14"/>
      <c r="V24" s="18"/>
      <c r="W24" s="205"/>
      <c r="X24" s="18"/>
      <c r="Y24" s="145"/>
      <c r="Z24" s="18"/>
      <c r="AA24" s="18"/>
      <c r="AB24" s="18"/>
      <c r="AC24" s="7"/>
    </row>
    <row r="25" spans="1:39" ht="15" thickBot="1" x14ac:dyDescent="0.35">
      <c r="A25" s="2"/>
      <c r="B25" s="16"/>
      <c r="C25" s="25"/>
      <c r="D25" s="17"/>
      <c r="E25" s="17"/>
      <c r="F25" s="197"/>
      <c r="G25" s="22"/>
      <c r="H25" s="22"/>
      <c r="I25" s="24"/>
      <c r="J25" s="198"/>
      <c r="K25" s="199"/>
      <c r="L25" s="195"/>
      <c r="M25" s="196"/>
      <c r="N25" s="195"/>
      <c r="O25" s="196"/>
      <c r="P25" s="9"/>
      <c r="Q25" s="23"/>
      <c r="R25" s="21"/>
      <c r="S25" s="21"/>
      <c r="T25" s="15"/>
      <c r="U25" s="14"/>
      <c r="V25" s="18"/>
      <c r="W25" s="205"/>
      <c r="X25" s="18"/>
      <c r="Y25" s="145"/>
      <c r="Z25" s="18"/>
      <c r="AA25" s="18"/>
      <c r="AB25" s="18"/>
      <c r="AC25" s="7"/>
    </row>
    <row r="26" spans="1:39" ht="15" thickBot="1" x14ac:dyDescent="0.35">
      <c r="A26" s="2"/>
      <c r="B26" s="16"/>
      <c r="C26" s="25"/>
      <c r="D26" s="17"/>
      <c r="E26" s="17"/>
      <c r="F26" s="197"/>
      <c r="G26" s="22"/>
      <c r="H26" s="22"/>
      <c r="I26" s="24"/>
      <c r="J26" s="198"/>
      <c r="K26" s="199"/>
      <c r="L26" s="195"/>
      <c r="M26" s="196"/>
      <c r="N26" s="195"/>
      <c r="O26" s="196"/>
      <c r="P26" s="9"/>
      <c r="Q26" s="23"/>
      <c r="R26" s="21"/>
      <c r="S26" s="21"/>
      <c r="T26" s="15"/>
      <c r="U26" s="14"/>
      <c r="V26" s="18"/>
      <c r="W26" s="205"/>
      <c r="X26" s="18"/>
      <c r="Y26" s="145"/>
      <c r="Z26" s="18"/>
      <c r="AA26" s="18"/>
      <c r="AB26" s="18"/>
      <c r="AC26" s="7"/>
    </row>
    <row r="27" spans="1:39" ht="15" thickBot="1" x14ac:dyDescent="0.35">
      <c r="A27" s="2"/>
      <c r="B27" s="16"/>
      <c r="C27" s="25"/>
      <c r="D27" s="17"/>
      <c r="E27" s="17"/>
      <c r="F27" s="197"/>
      <c r="G27" s="22"/>
      <c r="H27" s="22"/>
      <c r="I27" s="24"/>
      <c r="J27" s="198"/>
      <c r="K27" s="199"/>
      <c r="L27" s="195"/>
      <c r="M27" s="196"/>
      <c r="N27" s="195"/>
      <c r="O27" s="196"/>
      <c r="P27" s="9"/>
      <c r="Q27" s="23"/>
      <c r="R27" s="21"/>
      <c r="S27" s="21"/>
      <c r="T27" s="15"/>
      <c r="U27" s="14"/>
      <c r="V27" s="18"/>
      <c r="W27" s="205"/>
      <c r="X27" s="18"/>
      <c r="Y27" s="145"/>
      <c r="Z27" s="18"/>
      <c r="AA27" s="18"/>
      <c r="AB27" s="18"/>
      <c r="AC27" s="7"/>
    </row>
    <row r="28" spans="1:39" ht="15" thickBot="1" x14ac:dyDescent="0.35">
      <c r="A28" s="2"/>
      <c r="B28" s="16"/>
      <c r="C28" s="25"/>
      <c r="D28" s="17"/>
      <c r="E28" s="17"/>
      <c r="F28" s="197"/>
      <c r="G28" s="22"/>
      <c r="H28" s="22"/>
      <c r="I28" s="24"/>
      <c r="J28" s="198"/>
      <c r="K28" s="199"/>
      <c r="L28" s="195"/>
      <c r="M28" s="196"/>
      <c r="N28" s="195"/>
      <c r="O28" s="196"/>
      <c r="P28" s="9"/>
      <c r="Q28" s="23"/>
      <c r="R28" s="21"/>
      <c r="S28" s="21"/>
      <c r="T28" s="15"/>
      <c r="U28" s="14"/>
      <c r="V28" s="18"/>
      <c r="W28" s="205"/>
      <c r="X28" s="18"/>
      <c r="Y28" s="145"/>
      <c r="Z28" s="18"/>
      <c r="AA28" s="18"/>
      <c r="AB28" s="19"/>
      <c r="AC28" s="7"/>
    </row>
    <row r="29" spans="1:39" ht="15" thickBot="1" x14ac:dyDescent="0.35">
      <c r="A29" s="2"/>
      <c r="B29" s="16"/>
      <c r="C29" s="25"/>
      <c r="D29" s="17"/>
      <c r="E29" s="17"/>
      <c r="F29" s="197"/>
      <c r="G29" s="22"/>
      <c r="H29" s="22"/>
      <c r="I29" s="24"/>
      <c r="J29" s="198"/>
      <c r="K29" s="199"/>
      <c r="L29" s="195"/>
      <c r="M29" s="196"/>
      <c r="N29" s="195"/>
      <c r="O29" s="196"/>
      <c r="P29" s="9"/>
      <c r="Q29" s="23"/>
      <c r="R29" s="21"/>
      <c r="S29" s="21"/>
      <c r="T29" s="15"/>
      <c r="U29" s="14"/>
      <c r="V29" s="18"/>
      <c r="W29" s="205"/>
      <c r="X29" s="18"/>
      <c r="Y29" s="145"/>
      <c r="Z29" s="18"/>
      <c r="AA29" s="18"/>
      <c r="AB29" s="19"/>
      <c r="AC29" s="7"/>
    </row>
    <row r="30" spans="1:39" ht="15" thickBot="1" x14ac:dyDescent="0.35">
      <c r="A30" s="2"/>
      <c r="B30" s="16"/>
      <c r="C30" s="25"/>
      <c r="D30" s="17"/>
      <c r="E30" s="17"/>
      <c r="F30" s="197"/>
      <c r="G30" s="22"/>
      <c r="H30" s="22"/>
      <c r="I30" s="24"/>
      <c r="J30" s="198"/>
      <c r="K30" s="199"/>
      <c r="L30" s="195"/>
      <c r="M30" s="196"/>
      <c r="N30" s="195"/>
      <c r="O30" s="196"/>
      <c r="P30" s="9"/>
      <c r="Q30" s="23"/>
      <c r="R30" s="21"/>
      <c r="S30" s="21"/>
      <c r="T30" s="15"/>
      <c r="U30" s="14"/>
      <c r="V30" s="18"/>
      <c r="W30" s="205"/>
      <c r="X30" s="18"/>
      <c r="Y30" s="145"/>
      <c r="Z30" s="18"/>
      <c r="AA30" s="18"/>
      <c r="AB30" s="19"/>
      <c r="AC30" s="7"/>
    </row>
    <row r="31" spans="1:39" ht="15" thickBot="1" x14ac:dyDescent="0.35">
      <c r="A31" s="2"/>
      <c r="B31" s="16"/>
      <c r="C31" s="25"/>
      <c r="D31" s="17"/>
      <c r="E31" s="17"/>
      <c r="F31" s="197"/>
      <c r="G31" s="22"/>
      <c r="H31" s="22"/>
      <c r="I31" s="24"/>
      <c r="J31" s="198"/>
      <c r="K31" s="199"/>
      <c r="L31" s="195"/>
      <c r="M31" s="196"/>
      <c r="N31" s="195"/>
      <c r="O31" s="196"/>
      <c r="P31" s="9"/>
      <c r="Q31" s="23"/>
      <c r="R31" s="21"/>
      <c r="S31" s="21"/>
      <c r="T31" s="15"/>
      <c r="U31" s="14"/>
      <c r="V31" s="18"/>
      <c r="W31" s="205"/>
      <c r="X31" s="18"/>
      <c r="Y31" s="145"/>
      <c r="Z31" s="18"/>
      <c r="AA31" s="18"/>
      <c r="AB31" s="19"/>
      <c r="AC31" s="7"/>
    </row>
    <row r="32" spans="1:39" ht="15" thickBot="1" x14ac:dyDescent="0.35">
      <c r="A32" s="2"/>
      <c r="B32" s="16"/>
      <c r="C32" s="25"/>
      <c r="D32" s="17"/>
      <c r="E32" s="17"/>
      <c r="F32" s="197"/>
      <c r="G32" s="22"/>
      <c r="H32" s="22"/>
      <c r="I32" s="24"/>
      <c r="J32" s="198"/>
      <c r="K32" s="199"/>
      <c r="L32" s="195"/>
      <c r="M32" s="196"/>
      <c r="N32" s="195"/>
      <c r="O32" s="196"/>
      <c r="P32" s="9"/>
      <c r="Q32" s="23"/>
      <c r="R32" s="21"/>
      <c r="S32" s="21"/>
      <c r="T32" s="15"/>
      <c r="U32" s="14"/>
      <c r="V32" s="18"/>
      <c r="W32" s="205"/>
      <c r="X32" s="18"/>
      <c r="Y32" s="145"/>
      <c r="Z32" s="18"/>
      <c r="AA32" s="18"/>
      <c r="AB32" s="19"/>
      <c r="AC32" s="7"/>
    </row>
    <row r="33" spans="13:13" x14ac:dyDescent="0.3">
      <c r="M33" s="8"/>
    </row>
  </sheetData>
  <mergeCells count="6">
    <mergeCell ref="A1:E1"/>
    <mergeCell ref="W2:Y2"/>
    <mergeCell ref="R1:U1"/>
    <mergeCell ref="J1:Q1"/>
    <mergeCell ref="F1:I1"/>
    <mergeCell ref="V1:AC1"/>
  </mergeCells>
  <dataValidations count="5">
    <dataValidation type="list" allowBlank="1" showInputMessage="1" showErrorMessage="1" sqref="J3:J32" xr:uid="{4C6EF956-A192-4380-983E-0FD66E215447}">
      <formula1>"Goodyear,Michelin,Hankook"</formula1>
    </dataValidation>
    <dataValidation type="list" allowBlank="1" showInputMessage="1" showErrorMessage="1" sqref="F3:F32" xr:uid="{0214572A-7A73-45A9-BABA-E14181834184}">
      <formula1>"Dynamic,Dynamic+"</formula1>
    </dataValidation>
    <dataValidation type="list" allowBlank="1" showInputMessage="1" showErrorMessage="1" sqref="R4:R32" xr:uid="{0A86E969-B543-4684-91CD-70EA13B0DC7E}">
      <mc:AlternateContent xmlns:x12ac="http://schemas.microsoft.com/office/spreadsheetml/2011/1/ac" xmlns:mc="http://schemas.openxmlformats.org/markup-compatibility/2006">
        <mc:Choice Requires="x12ac">
          <x12ac:list>"A and B (eg. UP, Polo)",C (eg. Golf),  D (eg Passat), Other</x12ac:list>
        </mc:Choice>
        <mc:Fallback>
          <formula1>"A and B (eg. UP, Polo),C (eg. Golf),  D (eg Passat), Other"</formula1>
        </mc:Fallback>
      </mc:AlternateContent>
    </dataValidation>
    <dataValidation type="list" showInputMessage="1" showErrorMessage="1" sqref="W3:W4" xr:uid="{0364D130-61C8-49D7-B1D8-3E4941FFDC7C}">
      <formula1>"Premium,Standard, Economy, Economy GSB,0"</formula1>
    </dataValidation>
    <dataValidation type="list" allowBlank="1" showInputMessage="1" showErrorMessage="1" sqref="R3" xr:uid="{3CEAD538-C018-4EED-9A29-751814BA0E5C}">
      <mc:AlternateContent xmlns:x12ac="http://schemas.microsoft.com/office/spreadsheetml/2011/1/ac" xmlns:mc="http://schemas.openxmlformats.org/markup-compatibility/2006">
        <mc:Choice Requires="x12ac">
          <x12ac:list>"A&amp;B (eg. UP, Polo)",C (eg. Golf),  D (eg Passat), Other</x12ac:list>
        </mc:Choice>
        <mc:Fallback>
          <formula1>"A&amp;B (eg. UP, Polo),C (eg. Golf),  D (eg Passat), Other"</formula1>
        </mc:Fallback>
      </mc:AlternateContent>
    </dataValidation>
  </dataValidations>
  <pageMargins left="0.35433070866141736" right="0.23622047244094491" top="0.39370078740157483" bottom="0.74803149606299213" header="0.35433070866141736" footer="0.31496062992125984"/>
  <pageSetup paperSize="9" scale="47" orientation="landscape" r:id="rId1"/>
  <headerFooter>
    <oddFooter>&amp;C&amp;1#&amp;"Arial"&amp;8&amp;K001753Internal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21"/>
  <sheetViews>
    <sheetView workbookViewId="0">
      <selection activeCell="D9" sqref="D9"/>
    </sheetView>
  </sheetViews>
  <sheetFormatPr defaultColWidth="9.109375" defaultRowHeight="14.4" x14ac:dyDescent="0.3"/>
  <cols>
    <col min="1" max="1" width="42.33203125" customWidth="1"/>
    <col min="3" max="3" width="8.6640625" customWidth="1"/>
    <col min="4" max="4" width="13.6640625" bestFit="1" customWidth="1"/>
    <col min="5" max="5" width="10.6640625" customWidth="1"/>
    <col min="6" max="6" width="14.109375" customWidth="1"/>
    <col min="7" max="7" width="10.88671875" customWidth="1"/>
    <col min="8" max="8" width="12.88671875" customWidth="1"/>
    <col min="9" max="9" width="11.33203125" customWidth="1"/>
  </cols>
  <sheetData>
    <row r="1" spans="1:20" ht="16.5" customHeight="1" thickBot="1" x14ac:dyDescent="0.35">
      <c r="A1" s="267" t="str">
        <f>IF(Conditions!D29="ENG","Operational leasing + Business mobility package", "Оперативен лизинг + пакет Бизнес мобилност")</f>
        <v>Оперативен лизинг + пакет Бизнес мобилност</v>
      </c>
      <c r="B1" s="268"/>
      <c r="C1" s="268"/>
      <c r="D1" s="268"/>
      <c r="E1" s="268"/>
      <c r="F1" s="268"/>
      <c r="G1" s="268"/>
      <c r="H1" s="268"/>
      <c r="I1" s="26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53.4" thickBot="1" x14ac:dyDescent="0.35">
      <c r="A2" s="26" t="str">
        <f>IF(Conditions!D29="ENG","Vehicle", "Автомобил")</f>
        <v>Автомобил</v>
      </c>
      <c r="B2" s="171" t="str">
        <f>IF(Conditions!D29="ENG","Mileage p.a", "Км за 1 година")</f>
        <v>Км за 1 година</v>
      </c>
      <c r="C2" s="171" t="str">
        <f>IF(Conditions!D29="ENG","Duration (months)", "Срок в месеци")</f>
        <v>Срок в месеци</v>
      </c>
      <c r="D2" s="172" t="str">
        <f>IF(Conditions!D29="ENG","Vehicle price", "Цена на автомобила")</f>
        <v>Цена на автомобила</v>
      </c>
      <c r="E2" s="172" t="str">
        <f>IF(Conditions!D29="ENG","Monthly leasing installment", "Месечна лизингова вноска")</f>
        <v>Месечна лизингова вноска</v>
      </c>
      <c r="F2" s="172" t="str">
        <f>IF(Conditions!D29="ENG","Monthly management fee", "Месечна такса обслужване")</f>
        <v>Месечна такса обслужване</v>
      </c>
      <c r="G2" s="172" t="str">
        <f>IF(Conditions!D29="ENG","Total monthly leasing cost", "Общо разходи лизинг")</f>
        <v>Общо разходи лизинг</v>
      </c>
      <c r="H2" s="172" t="str">
        <f>IF(Conditions!D29="ENG","Monthly installment Business mobility", "Месечна вноска Бизнес мобилност")</f>
        <v>Месечна вноска Бизнес мобилност</v>
      </c>
      <c r="I2" s="173" t="str">
        <f>IF(Conditions!D29="ENG","Total monthly installment", "Месечна вноска тотал")</f>
        <v>Месечна вноска тотал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" thickBot="1" x14ac:dyDescent="0.35">
      <c r="A3" s="26">
        <v>1</v>
      </c>
      <c r="B3" s="171">
        <v>2</v>
      </c>
      <c r="C3" s="171">
        <v>3</v>
      </c>
      <c r="D3" s="172">
        <v>4</v>
      </c>
      <c r="E3" s="172">
        <v>5</v>
      </c>
      <c r="F3" s="172">
        <v>6</v>
      </c>
      <c r="G3" s="172" t="s">
        <v>36</v>
      </c>
      <c r="H3" s="172">
        <v>8</v>
      </c>
      <c r="I3" s="173" t="s">
        <v>37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5" thickBot="1" x14ac:dyDescent="0.35">
      <c r="A4" s="27" t="str">
        <f>CONCATENATE(Leasing!A3," ",Leasing!B3," ",Mobility!C3,"hp"," ",Conditions!F4)</f>
        <v>Caravelle Trendline L TDI TDI 110hp M1</v>
      </c>
      <c r="B4" s="174">
        <f>Leasing!E3</f>
        <v>50000</v>
      </c>
      <c r="C4" s="174">
        <f>Leasing!D3</f>
        <v>48</v>
      </c>
      <c r="D4" s="175">
        <f>Leasing!I3</f>
        <v>37960.013566277921</v>
      </c>
      <c r="E4" s="176">
        <f>Leasing!K3</f>
        <v>855.40361070709241</v>
      </c>
      <c r="F4" s="176" t="e">
        <f>Leasing!S3</f>
        <v>#N/A</v>
      </c>
      <c r="G4" s="177" t="e">
        <f>E4+F4</f>
        <v>#N/A</v>
      </c>
      <c r="H4" s="176">
        <f>Mobility!AC3</f>
        <v>28.965010308212428</v>
      </c>
      <c r="I4" s="177" t="e">
        <f>G4+H4</f>
        <v>#N/A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" thickBot="1" x14ac:dyDescent="0.35">
      <c r="A5" s="27" t="str">
        <f>CONCATENATE(Leasing!A4," ",Leasing!B4," ",Mobility!C4,"hp"," ",Conditions!F5)</f>
        <v>Arteon PA R-Line 2.0 TSI OPF 4MOTION DSG TSI 280hp M1</v>
      </c>
      <c r="B5" s="174">
        <f>Leasing!E4</f>
        <v>50000</v>
      </c>
      <c r="C5" s="174">
        <f>Leasing!D4</f>
        <v>48</v>
      </c>
      <c r="D5" s="175">
        <f>Leasing!I4</f>
        <v>46478.988460142245</v>
      </c>
      <c r="E5" s="176">
        <f>Leasing!K4</f>
        <v>1047.3730332419732</v>
      </c>
      <c r="F5" s="176" t="e">
        <f>Leasing!S4</f>
        <v>#VALUE!</v>
      </c>
      <c r="G5" s="177" t="e">
        <f>E5+F5</f>
        <v>#VALUE!</v>
      </c>
      <c r="H5" s="176">
        <f>Mobility!AC4</f>
        <v>28.965010308212428</v>
      </c>
      <c r="I5" s="177" t="e">
        <f>G5+H5</f>
        <v>#VALUE!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5" thickBot="1" x14ac:dyDescent="0.35">
      <c r="A6" s="27" t="str">
        <f>CONCATENATE(Leasing!A5," ",Leasing!B5," ",Mobility!C5,"hp"," ",Conditions!F6)</f>
        <v xml:space="preserve">  hp M1</v>
      </c>
      <c r="B6" s="174">
        <f>Leasing!E5</f>
        <v>0</v>
      </c>
      <c r="C6" s="174">
        <f>Leasing!D5</f>
        <v>0</v>
      </c>
      <c r="D6" s="175">
        <f>Leasing!I5</f>
        <v>0</v>
      </c>
      <c r="E6" s="176">
        <f>Leasing!K5</f>
        <v>0</v>
      </c>
      <c r="F6" s="176">
        <f>Leasing!S5</f>
        <v>0</v>
      </c>
      <c r="G6" s="177">
        <f t="shared" ref="G6:G10" si="0">E6+F6</f>
        <v>0</v>
      </c>
      <c r="H6" s="176">
        <f>Mobility!AC5</f>
        <v>0</v>
      </c>
      <c r="I6" s="177">
        <f t="shared" ref="I6:I10" si="1">G6+H6</f>
        <v>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 thickBot="1" x14ac:dyDescent="0.35">
      <c r="A7" s="27" t="str">
        <f>CONCATENATE(Leasing!A6," ",Leasing!B6," ",Mobility!C6,"hp"," ",Conditions!F7)</f>
        <v xml:space="preserve">  hp </v>
      </c>
      <c r="B7" s="174">
        <f>Leasing!E6</f>
        <v>0</v>
      </c>
      <c r="C7" s="174">
        <f>Leasing!D6</f>
        <v>0</v>
      </c>
      <c r="D7" s="175">
        <f>Leasing!I6</f>
        <v>0</v>
      </c>
      <c r="E7" s="176">
        <f>Leasing!K6</f>
        <v>0</v>
      </c>
      <c r="F7" s="176">
        <f>Leasing!S6</f>
        <v>0</v>
      </c>
      <c r="G7" s="177">
        <f t="shared" si="0"/>
        <v>0</v>
      </c>
      <c r="H7" s="176">
        <f>Mobility!AC6</f>
        <v>0</v>
      </c>
      <c r="I7" s="177">
        <f t="shared" si="1"/>
        <v>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" thickBot="1" x14ac:dyDescent="0.35">
      <c r="A8" s="27" t="str">
        <f>CONCATENATE(Leasing!A7," ",Leasing!B7," ",Mobility!C7,"hp"," ",Conditions!F8)</f>
        <v xml:space="preserve">  hp </v>
      </c>
      <c r="B8" s="174">
        <f>Leasing!E7</f>
        <v>0</v>
      </c>
      <c r="C8" s="174">
        <f>Leasing!D7</f>
        <v>0</v>
      </c>
      <c r="D8" s="175">
        <f>Leasing!I7</f>
        <v>0</v>
      </c>
      <c r="E8" s="176">
        <f>Leasing!K7</f>
        <v>0</v>
      </c>
      <c r="F8" s="176">
        <f>Leasing!S7</f>
        <v>0</v>
      </c>
      <c r="G8" s="177">
        <f t="shared" si="0"/>
        <v>0</v>
      </c>
      <c r="H8" s="176">
        <f>Mobility!AC7</f>
        <v>0</v>
      </c>
      <c r="I8" s="177">
        <f t="shared" si="1"/>
        <v>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" thickBot="1" x14ac:dyDescent="0.35">
      <c r="A9" s="27" t="str">
        <f>CONCATENATE(Leasing!A8," ",Leasing!B8," ",Mobility!C8,"hp"," ",Conditions!F9)</f>
        <v xml:space="preserve">  hp </v>
      </c>
      <c r="B9" s="174">
        <f>Leasing!E8</f>
        <v>0</v>
      </c>
      <c r="C9" s="174">
        <f>Leasing!D8</f>
        <v>0</v>
      </c>
      <c r="D9" s="175">
        <f>Leasing!I8</f>
        <v>0</v>
      </c>
      <c r="E9" s="176">
        <f>Leasing!K8</f>
        <v>0</v>
      </c>
      <c r="F9" s="176">
        <f>Leasing!S8</f>
        <v>0</v>
      </c>
      <c r="G9" s="177">
        <f t="shared" si="0"/>
        <v>0</v>
      </c>
      <c r="H9" s="176">
        <f>Mobility!AC8</f>
        <v>0</v>
      </c>
      <c r="I9" s="177">
        <f t="shared" si="1"/>
        <v>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5" thickBot="1" x14ac:dyDescent="0.35">
      <c r="A10" s="27" t="str">
        <f>CONCATENATE(Leasing!A9," ",Leasing!B9," ",Mobility!C9,"hp"," ",Conditions!F10)</f>
        <v xml:space="preserve">  hp </v>
      </c>
      <c r="B10" s="174">
        <f>Leasing!E9</f>
        <v>0</v>
      </c>
      <c r="C10" s="174">
        <f>Leasing!D9</f>
        <v>0</v>
      </c>
      <c r="D10" s="175">
        <f>Leasing!I9</f>
        <v>0</v>
      </c>
      <c r="E10" s="176">
        <f>Leasing!K9</f>
        <v>0</v>
      </c>
      <c r="F10" s="176">
        <f>Leasing!S9</f>
        <v>0</v>
      </c>
      <c r="G10" s="177">
        <f t="shared" si="0"/>
        <v>0</v>
      </c>
      <c r="H10" s="176">
        <f>Mobility!AC9</f>
        <v>0</v>
      </c>
      <c r="I10" s="177">
        <f t="shared" si="1"/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x14ac:dyDescent="0.3">
      <c r="A11" s="28" t="str">
        <f>IF(Conditions!D29="ENG","All prices are in EUR without VAT", "Всички цени са в Евро без ДДС")</f>
        <v>Всички цени са в Евро без ДДС</v>
      </c>
      <c r="B11" s="163"/>
      <c r="C11" s="163"/>
      <c r="D11" s="163"/>
      <c r="E11" s="163"/>
      <c r="F11" s="163"/>
      <c r="G11" s="163"/>
      <c r="H11" s="163"/>
      <c r="I11" s="1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x14ac:dyDescent="0.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x14ac:dyDescent="0.3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x14ac:dyDescent="0.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x14ac:dyDescent="0.3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x14ac:dyDescent="0.3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&amp;C&amp;1#&amp;"Arial"&amp;8&amp;K001753Internal</oddFooter>
  </headerFooter>
  <ignoredErrors>
    <ignoredError sqref="H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Y46"/>
  <sheetViews>
    <sheetView workbookViewId="0">
      <selection activeCell="C10" sqref="C10:C11"/>
    </sheetView>
  </sheetViews>
  <sheetFormatPr defaultColWidth="9.109375" defaultRowHeight="14.4" x14ac:dyDescent="0.3"/>
  <cols>
    <col min="1" max="1" width="14.88671875" style="83" bestFit="1" customWidth="1"/>
    <col min="2" max="2" width="21.33203125" style="83" customWidth="1"/>
    <col min="3" max="3" width="11.44140625" style="83" customWidth="1"/>
    <col min="4" max="4" width="9.109375" style="83" customWidth="1"/>
    <col min="5" max="5" width="2.5546875" style="83" customWidth="1"/>
    <col min="6" max="6" width="21.33203125" style="83" customWidth="1"/>
    <col min="7" max="7" width="10.5546875" style="83" customWidth="1"/>
    <col min="8" max="9" width="9.109375" style="83" customWidth="1"/>
    <col min="10" max="10" width="2.88671875" style="83" customWidth="1"/>
    <col min="11" max="11" width="21.33203125" style="83" bestFit="1" customWidth="1"/>
    <col min="12" max="12" width="9.109375" style="83"/>
    <col min="13" max="13" width="10.5546875" style="83" bestFit="1" customWidth="1"/>
    <col min="14" max="16" width="9.109375" style="83"/>
    <col min="17" max="17" width="21.44140625" style="83" bestFit="1" customWidth="1"/>
    <col min="18" max="18" width="13.44140625" style="83" bestFit="1" customWidth="1"/>
    <col min="19" max="19" width="9.88671875" style="83" bestFit="1" customWidth="1"/>
    <col min="20" max="20" width="12.6640625" style="83" bestFit="1" customWidth="1"/>
    <col min="21" max="21" width="11.5546875" style="83" bestFit="1" customWidth="1"/>
    <col min="22" max="23" width="9.109375" style="83"/>
    <col min="24" max="24" width="13.6640625" style="83" customWidth="1"/>
    <col min="25" max="25" width="15.5546875" style="83" customWidth="1"/>
    <col min="26" max="16384" width="9.109375" style="83"/>
  </cols>
  <sheetData>
    <row r="2" spans="2:22" x14ac:dyDescent="0.3">
      <c r="B2" s="83" t="s">
        <v>76</v>
      </c>
    </row>
    <row r="4" spans="2:22" x14ac:dyDescent="0.3">
      <c r="B4" s="84" t="s">
        <v>58</v>
      </c>
      <c r="C4" s="84"/>
      <c r="D4" s="84"/>
      <c r="E4" s="84"/>
      <c r="F4" s="84" t="s">
        <v>59</v>
      </c>
      <c r="G4" s="84"/>
      <c r="H4" s="84"/>
      <c r="I4" s="84"/>
      <c r="J4" s="84"/>
      <c r="K4" s="84" t="s">
        <v>56</v>
      </c>
      <c r="P4" t="s">
        <v>89</v>
      </c>
      <c r="Q4"/>
      <c r="R4"/>
      <c r="S4"/>
      <c r="T4"/>
      <c r="U4"/>
      <c r="V4"/>
    </row>
    <row r="5" spans="2:22" x14ac:dyDescent="0.3">
      <c r="B5" t="s">
        <v>64</v>
      </c>
      <c r="C5" s="213">
        <v>373.82</v>
      </c>
      <c r="D5" s="108">
        <v>155.43549285980887</v>
      </c>
      <c r="F5" t="s">
        <v>62</v>
      </c>
      <c r="G5" s="110">
        <v>310.13</v>
      </c>
      <c r="H5" s="108">
        <f>G5/1.95583</f>
        <v>158.56695111538323</v>
      </c>
      <c r="K5" t="s">
        <v>62</v>
      </c>
      <c r="L5" s="112">
        <v>286.62</v>
      </c>
      <c r="M5" s="108">
        <f>L5/1.95583</f>
        <v>146.54647898846014</v>
      </c>
      <c r="P5"/>
      <c r="Q5" s="130" t="s">
        <v>90</v>
      </c>
      <c r="R5" s="130" t="s">
        <v>88</v>
      </c>
      <c r="S5" s="131" t="s">
        <v>91</v>
      </c>
      <c r="T5" s="130" t="s">
        <v>92</v>
      </c>
      <c r="U5" s="131" t="s">
        <v>93</v>
      </c>
      <c r="V5"/>
    </row>
    <row r="6" spans="2:22" x14ac:dyDescent="0.3">
      <c r="B6" t="s">
        <v>66</v>
      </c>
      <c r="C6" s="213">
        <v>373.82</v>
      </c>
      <c r="D6" s="108">
        <v>155.43549285980887</v>
      </c>
      <c r="F6" t="s">
        <v>63</v>
      </c>
      <c r="G6" s="110">
        <v>310.13</v>
      </c>
      <c r="H6" s="108">
        <f t="shared" ref="H6:H13" si="0">G6/1.95583</f>
        <v>158.56695111538323</v>
      </c>
      <c r="K6" t="s">
        <v>74</v>
      </c>
      <c r="L6" s="112">
        <v>296.82</v>
      </c>
      <c r="M6" s="108">
        <f t="shared" ref="M6:M12" si="1">L6/1.95583</f>
        <v>151.76165617666157</v>
      </c>
      <c r="P6"/>
      <c r="Q6" s="117">
        <v>14</v>
      </c>
      <c r="R6" s="118">
        <f>54</f>
        <v>54</v>
      </c>
      <c r="S6" s="119"/>
      <c r="T6" s="120"/>
      <c r="U6"/>
      <c r="V6"/>
    </row>
    <row r="7" spans="2:22" x14ac:dyDescent="0.3">
      <c r="B7" t="s">
        <v>63</v>
      </c>
      <c r="C7" s="213">
        <v>373.82</v>
      </c>
      <c r="D7" s="108">
        <v>159.61806496474645</v>
      </c>
      <c r="F7" t="s">
        <v>65</v>
      </c>
      <c r="G7" s="110">
        <v>331.95</v>
      </c>
      <c r="H7" s="108">
        <f t="shared" si="0"/>
        <v>169.72333996308473</v>
      </c>
      <c r="K7" t="s">
        <v>67</v>
      </c>
      <c r="L7" s="112">
        <v>302.94</v>
      </c>
      <c r="M7" s="108">
        <f t="shared" si="1"/>
        <v>154.89076248958244</v>
      </c>
      <c r="P7"/>
      <c r="Q7" s="121">
        <v>15</v>
      </c>
      <c r="R7" s="122">
        <v>60</v>
      </c>
      <c r="S7" s="123">
        <v>0.1</v>
      </c>
      <c r="T7" s="124">
        <f t="shared" ref="T7:T12" si="2">R7*S7</f>
        <v>6</v>
      </c>
      <c r="U7"/>
      <c r="V7"/>
    </row>
    <row r="8" spans="2:22" x14ac:dyDescent="0.3">
      <c r="B8" t="s">
        <v>65</v>
      </c>
      <c r="C8" s="213">
        <v>392.52</v>
      </c>
      <c r="D8" s="108">
        <v>159.79016581195708</v>
      </c>
      <c r="F8" t="s">
        <v>67</v>
      </c>
      <c r="G8" s="110">
        <v>331.95</v>
      </c>
      <c r="H8" s="108">
        <f t="shared" si="0"/>
        <v>169.72333996308473</v>
      </c>
      <c r="K8" t="s">
        <v>68</v>
      </c>
      <c r="L8" s="112">
        <v>317.22000000000003</v>
      </c>
      <c r="M8" s="108">
        <f t="shared" si="1"/>
        <v>162.19201055306445</v>
      </c>
      <c r="P8"/>
      <c r="Q8" s="121">
        <v>16</v>
      </c>
      <c r="R8" s="122">
        <v>64</v>
      </c>
      <c r="S8" s="123">
        <f>55%</f>
        <v>0.55000000000000004</v>
      </c>
      <c r="T8" s="124">
        <f t="shared" si="2"/>
        <v>35.200000000000003</v>
      </c>
      <c r="U8"/>
      <c r="V8"/>
    </row>
    <row r="9" spans="2:22" x14ac:dyDescent="0.3">
      <c r="B9" t="s">
        <v>67</v>
      </c>
      <c r="C9" s="213">
        <v>392.52</v>
      </c>
      <c r="D9" s="108">
        <v>164.14483876410529</v>
      </c>
      <c r="F9" t="s">
        <v>68</v>
      </c>
      <c r="G9" s="110">
        <v>348.58</v>
      </c>
      <c r="H9" s="108">
        <f t="shared" si="0"/>
        <v>178.22612394737783</v>
      </c>
      <c r="K9" t="s">
        <v>69</v>
      </c>
      <c r="L9" s="112">
        <v>378.42</v>
      </c>
      <c r="M9" s="108">
        <f t="shared" si="1"/>
        <v>193.48307368227302</v>
      </c>
      <c r="P9"/>
      <c r="Q9" s="121">
        <v>17</v>
      </c>
      <c r="R9" s="122">
        <v>70</v>
      </c>
      <c r="S9" s="123">
        <f>10%</f>
        <v>0.1</v>
      </c>
      <c r="T9" s="124">
        <f t="shared" si="2"/>
        <v>7</v>
      </c>
      <c r="U9"/>
      <c r="V9"/>
    </row>
    <row r="10" spans="2:22" x14ac:dyDescent="0.3">
      <c r="B10" t="s">
        <v>68</v>
      </c>
      <c r="C10" s="213">
        <v>449.9</v>
      </c>
      <c r="D10" s="108">
        <v>171.39915023289345</v>
      </c>
      <c r="F10" t="s">
        <v>69</v>
      </c>
      <c r="G10" s="110">
        <v>415.59</v>
      </c>
      <c r="H10" s="108">
        <f t="shared" si="0"/>
        <v>212.48779290633644</v>
      </c>
      <c r="K10" t="s">
        <v>70</v>
      </c>
      <c r="L10" s="112">
        <v>439.62</v>
      </c>
      <c r="M10" s="108">
        <f t="shared" si="1"/>
        <v>224.77413681148158</v>
      </c>
      <c r="P10"/>
      <c r="Q10" s="121">
        <v>18</v>
      </c>
      <c r="R10" s="122">
        <v>82</v>
      </c>
      <c r="S10" s="123"/>
      <c r="T10" s="124">
        <f t="shared" si="2"/>
        <v>0</v>
      </c>
      <c r="U10"/>
      <c r="V10"/>
    </row>
    <row r="11" spans="2:22" x14ac:dyDescent="0.3">
      <c r="B11" t="s">
        <v>69</v>
      </c>
      <c r="C11" s="213">
        <v>449.9</v>
      </c>
      <c r="D11" s="108">
        <v>203.57157830690809</v>
      </c>
      <c r="F11" t="s">
        <v>70</v>
      </c>
      <c r="G11" s="110">
        <v>468.33</v>
      </c>
      <c r="H11" s="108">
        <f t="shared" si="0"/>
        <v>239.453326720625</v>
      </c>
      <c r="K11" t="s">
        <v>75</v>
      </c>
      <c r="L11" s="112">
        <v>399.84</v>
      </c>
      <c r="M11" s="108">
        <f t="shared" si="1"/>
        <v>204.43494577749598</v>
      </c>
      <c r="P11"/>
      <c r="Q11" s="121">
        <v>19</v>
      </c>
      <c r="R11" s="122">
        <v>95</v>
      </c>
      <c r="S11" s="125">
        <f>10%</f>
        <v>0.1</v>
      </c>
      <c r="T11" s="124">
        <f t="shared" si="2"/>
        <v>9.5</v>
      </c>
      <c r="U11"/>
      <c r="V11"/>
    </row>
    <row r="12" spans="2:22" x14ac:dyDescent="0.3">
      <c r="B12" t="s">
        <v>70</v>
      </c>
      <c r="C12" s="213">
        <v>560.74</v>
      </c>
      <c r="D12" s="108">
        <v>213.43869354698518</v>
      </c>
      <c r="F12" t="s">
        <v>71</v>
      </c>
      <c r="G12" s="110">
        <v>521.47</v>
      </c>
      <c r="H12" s="108">
        <f t="shared" si="0"/>
        <v>266.62337728739209</v>
      </c>
      <c r="K12" t="s">
        <v>73</v>
      </c>
      <c r="L12" s="112">
        <v>461.04</v>
      </c>
      <c r="M12" s="108">
        <f t="shared" si="1"/>
        <v>235.72600890670458</v>
      </c>
      <c r="P12"/>
      <c r="Q12" s="126">
        <v>20</v>
      </c>
      <c r="R12" s="127">
        <v>110</v>
      </c>
      <c r="S12" s="128">
        <v>0.15</v>
      </c>
      <c r="T12" s="129">
        <f t="shared" si="2"/>
        <v>16.5</v>
      </c>
      <c r="U12"/>
      <c r="V12"/>
    </row>
    <row r="13" spans="2:22" x14ac:dyDescent="0.3">
      <c r="B13" t="s">
        <v>72</v>
      </c>
      <c r="C13" s="109">
        <v>559.72</v>
      </c>
      <c r="D13" s="108">
        <v>155.48242945450272</v>
      </c>
      <c r="F13"/>
      <c r="G13" s="111"/>
      <c r="H13" s="108">
        <f t="shared" si="0"/>
        <v>0</v>
      </c>
      <c r="K13"/>
      <c r="L13" s="111"/>
      <c r="M13" s="108"/>
      <c r="P13"/>
      <c r="Q13"/>
      <c r="R13"/>
      <c r="S13" s="116">
        <f>SUM(S6:S12)</f>
        <v>1</v>
      </c>
      <c r="T13">
        <f>75*1.2</f>
        <v>90</v>
      </c>
      <c r="U13"/>
      <c r="V13"/>
    </row>
    <row r="14" spans="2:22" x14ac:dyDescent="0.3">
      <c r="B14" t="s">
        <v>73</v>
      </c>
      <c r="C14" s="109">
        <v>559.72</v>
      </c>
      <c r="D14" s="108">
        <v>155.48242945450272</v>
      </c>
      <c r="G14" s="90"/>
      <c r="L14" s="90"/>
      <c r="P14"/>
      <c r="Q14"/>
      <c r="R14"/>
      <c r="S14"/>
      <c r="T14" s="130" t="s">
        <v>95</v>
      </c>
      <c r="U14" s="130">
        <f>T13+U13</f>
        <v>90</v>
      </c>
      <c r="V14" s="132" t="s">
        <v>94</v>
      </c>
    </row>
    <row r="15" spans="2:22" x14ac:dyDescent="0.3">
      <c r="C15" s="90"/>
      <c r="G15" s="90"/>
      <c r="L15" s="90"/>
      <c r="P15"/>
      <c r="Q15"/>
      <c r="R15"/>
      <c r="S15"/>
      <c r="T15" s="130" t="s">
        <v>96</v>
      </c>
      <c r="U15" s="133">
        <f>U14*2/1.95583/12/1.2*1.05</f>
        <v>6.7107059407003673</v>
      </c>
      <c r="V15" s="130" t="s">
        <v>97</v>
      </c>
    </row>
    <row r="16" spans="2:22" x14ac:dyDescent="0.3">
      <c r="B16" s="83" t="s">
        <v>61</v>
      </c>
      <c r="F16" s="83" t="s">
        <v>61</v>
      </c>
      <c r="K16" s="83" t="s">
        <v>61</v>
      </c>
    </row>
    <row r="17" spans="1:22" x14ac:dyDescent="0.3">
      <c r="B17" s="83" t="s">
        <v>77</v>
      </c>
      <c r="F17" s="83" t="s">
        <v>77</v>
      </c>
      <c r="K17" s="83" t="s">
        <v>77</v>
      </c>
    </row>
    <row r="18" spans="1:22" x14ac:dyDescent="0.3">
      <c r="B18" t="s">
        <v>73</v>
      </c>
      <c r="F18" t="s">
        <v>73</v>
      </c>
      <c r="K18" t="s">
        <v>73</v>
      </c>
      <c r="Q18" s="204"/>
      <c r="R18" s="204"/>
      <c r="S18" s="204"/>
      <c r="T18" s="204"/>
      <c r="U18" s="204"/>
      <c r="V18" s="204"/>
    </row>
    <row r="19" spans="1:22" x14ac:dyDescent="0.3">
      <c r="Q19" s="206"/>
      <c r="R19" s="206"/>
      <c r="S19" s="206"/>
      <c r="T19" s="206"/>
      <c r="U19" s="206"/>
      <c r="V19" s="204"/>
    </row>
    <row r="20" spans="1:22" x14ac:dyDescent="0.3">
      <c r="A20" s="83" t="s">
        <v>78</v>
      </c>
      <c r="B20" s="83" t="s">
        <v>77</v>
      </c>
      <c r="F20" s="83" t="s">
        <v>77</v>
      </c>
      <c r="K20" s="83" t="s">
        <v>61</v>
      </c>
      <c r="Q20" s="207"/>
      <c r="R20" s="208"/>
      <c r="S20" s="209"/>
      <c r="T20" s="208"/>
      <c r="U20" s="210"/>
      <c r="V20" s="204"/>
    </row>
    <row r="21" spans="1:22" x14ac:dyDescent="0.3">
      <c r="A21" s="83" t="s">
        <v>79</v>
      </c>
      <c r="B21" s="83" t="s">
        <v>63</v>
      </c>
      <c r="F21" s="83" t="s">
        <v>62</v>
      </c>
      <c r="K21" s="83" t="s">
        <v>62</v>
      </c>
      <c r="Q21" s="207"/>
      <c r="R21" s="208"/>
      <c r="S21" s="209"/>
      <c r="T21" s="208"/>
      <c r="U21" s="211"/>
      <c r="V21" s="204"/>
    </row>
    <row r="22" spans="1:22" x14ac:dyDescent="0.3">
      <c r="A22" s="90" t="s">
        <v>76</v>
      </c>
      <c r="B22" s="90" t="str">
        <f>IF(B20="Passanger",VLOOKUP(B21,B5:C12,2),"")</f>
        <v/>
      </c>
      <c r="C22" s="90"/>
      <c r="D22" s="90"/>
      <c r="E22" s="90"/>
      <c r="F22" s="90" t="str">
        <f>IF(F20="Passanger",VLOOKUP(F21,F5:G11,2,0),"")</f>
        <v/>
      </c>
      <c r="G22" s="90"/>
      <c r="H22" s="90"/>
      <c r="I22" s="90"/>
      <c r="J22" s="90"/>
      <c r="K22" s="90">
        <f>IF(K20="Passanger",VLOOKUP(K21,K5:L10,2,0),"")</f>
        <v>286.62</v>
      </c>
      <c r="L22" s="90"/>
      <c r="Q22" s="206"/>
      <c r="R22" s="208"/>
      <c r="S22" s="209"/>
      <c r="T22" s="208"/>
      <c r="U22" s="211"/>
      <c r="V22" s="204"/>
    </row>
    <row r="23" spans="1:22" x14ac:dyDescent="0.3">
      <c r="A23" s="90"/>
      <c r="B23" s="90">
        <f>IF(B20="Cargo up to 1,5 T",VLOOKUP(B21,B13:C13,2),"")</f>
        <v>559.72</v>
      </c>
      <c r="C23" s="90"/>
      <c r="D23" s="90"/>
      <c r="E23" s="90"/>
      <c r="F23" s="90">
        <f>IF(F20="Cargo up to 1,5 T",VLOOKUP(F21,F5:G11,2,0),"")</f>
        <v>310.13</v>
      </c>
      <c r="G23" s="90"/>
      <c r="H23" s="90"/>
      <c r="I23" s="90"/>
      <c r="J23" s="90"/>
      <c r="K23" s="90" t="str">
        <f>IF(K20="Cargo up to 1,5 T",VLOOKUP(K21,K11:L11,2),"")</f>
        <v/>
      </c>
      <c r="L23" s="90"/>
      <c r="Q23" s="206"/>
      <c r="R23" s="212"/>
      <c r="S23" s="209"/>
      <c r="T23" s="212"/>
      <c r="U23" s="211"/>
      <c r="V23" s="204"/>
    </row>
    <row r="24" spans="1:22" x14ac:dyDescent="0.3">
      <c r="A24" s="90"/>
      <c r="B24" s="90" t="str">
        <f>IF(B20="Cargo from 1,5 to 3,5 t.",VLOOKUP(B21,B14:C14,2),"")</f>
        <v/>
      </c>
      <c r="C24" s="90"/>
      <c r="D24" s="90"/>
      <c r="E24" s="90"/>
      <c r="F24" s="90" t="str">
        <f>IF(F20="Cargo from 1,5 to 3,5 t.",VLOOKUP(F21,F12:G12,2,0),"")</f>
        <v/>
      </c>
      <c r="G24" s="90"/>
      <c r="H24" s="90"/>
      <c r="I24" s="90"/>
      <c r="J24" s="90"/>
      <c r="K24" s="90" t="str">
        <f>IF(K20="Cargo from 1,5 to 3,5 t.",VLOOKUP(K21,K12:L12,2),"")</f>
        <v/>
      </c>
      <c r="L24" s="90"/>
      <c r="Q24" s="206"/>
      <c r="R24" s="212"/>
      <c r="S24" s="209"/>
      <c r="T24" s="212"/>
      <c r="U24" s="211"/>
      <c r="V24" s="204"/>
    </row>
    <row r="25" spans="1:22" x14ac:dyDescent="0.3">
      <c r="B25" s="84">
        <f>SUM(B22:B24)</f>
        <v>559.72</v>
      </c>
      <c r="C25" s="84"/>
      <c r="D25" s="84"/>
      <c r="E25" s="84"/>
      <c r="F25" s="84">
        <f>SUM(F22:F24)</f>
        <v>310.13</v>
      </c>
      <c r="G25" s="84"/>
      <c r="H25" s="84"/>
      <c r="I25" s="84"/>
      <c r="J25" s="84"/>
      <c r="K25" s="84">
        <f>SUM(K22:K24)</f>
        <v>286.62</v>
      </c>
      <c r="Q25" s="204"/>
      <c r="R25" s="204"/>
      <c r="S25" s="204"/>
      <c r="T25" s="204"/>
      <c r="U25" s="204"/>
      <c r="V25" s="204"/>
    </row>
    <row r="26" spans="1:22" x14ac:dyDescent="0.3">
      <c r="Q26" s="204"/>
      <c r="R26" s="204"/>
      <c r="S26" s="204"/>
      <c r="T26" s="204"/>
      <c r="U26" s="204"/>
      <c r="V26" s="204"/>
    </row>
    <row r="27" spans="1:22" x14ac:dyDescent="0.3">
      <c r="A27" s="83" t="s">
        <v>60</v>
      </c>
      <c r="B27" s="83" t="s">
        <v>80</v>
      </c>
      <c r="F27" s="83" t="s">
        <v>80</v>
      </c>
      <c r="K27" s="83" t="s">
        <v>80</v>
      </c>
      <c r="Q27" s="204"/>
      <c r="R27" s="204"/>
      <c r="S27" s="204"/>
      <c r="T27" s="204"/>
      <c r="U27" s="204"/>
      <c r="V27" s="204"/>
    </row>
    <row r="28" spans="1:22" x14ac:dyDescent="0.3">
      <c r="B28" s="83" t="s">
        <v>81</v>
      </c>
      <c r="F28" s="83" t="s">
        <v>81</v>
      </c>
      <c r="K28" s="83" t="s">
        <v>81</v>
      </c>
      <c r="Q28" s="204"/>
      <c r="R28" s="204"/>
      <c r="S28" s="204"/>
      <c r="T28" s="204"/>
      <c r="U28" s="204"/>
      <c r="V28" s="204"/>
    </row>
    <row r="29" spans="1:22" x14ac:dyDescent="0.3">
      <c r="A29" s="83" t="s">
        <v>83</v>
      </c>
      <c r="B29" s="95">
        <v>0.25</v>
      </c>
      <c r="C29" s="91">
        <v>0</v>
      </c>
      <c r="F29" s="95">
        <v>0.15</v>
      </c>
      <c r="G29" s="91">
        <v>0</v>
      </c>
      <c r="H29" s="83" t="s">
        <v>82</v>
      </c>
      <c r="K29" s="95">
        <v>0.25</v>
      </c>
      <c r="L29" s="94">
        <v>0</v>
      </c>
    </row>
    <row r="30" spans="1:22" x14ac:dyDescent="0.3">
      <c r="A30" s="83">
        <v>12</v>
      </c>
      <c r="B30" s="92">
        <v>4.4999999999999998E-2</v>
      </c>
      <c r="C30" s="92">
        <v>0.03</v>
      </c>
      <c r="D30" s="91">
        <v>1</v>
      </c>
      <c r="E30" s="91"/>
      <c r="F30" s="92">
        <v>4.1500000000000002E-2</v>
      </c>
      <c r="G30" s="92">
        <v>3.6499999999999998E-2</v>
      </c>
      <c r="H30" s="92">
        <v>4.9399999999999999E-2</v>
      </c>
      <c r="I30" s="93">
        <v>1</v>
      </c>
      <c r="J30" s="93"/>
      <c r="K30" s="92">
        <v>4.2000000000000003E-2</v>
      </c>
      <c r="L30" s="92">
        <v>3.5000000000000003E-2</v>
      </c>
      <c r="M30" s="93">
        <v>1</v>
      </c>
    </row>
    <row r="31" spans="1:22" x14ac:dyDescent="0.3">
      <c r="A31" s="83">
        <v>24</v>
      </c>
      <c r="B31" s="92">
        <v>4.4999999999999998E-2</v>
      </c>
      <c r="C31" s="92">
        <v>0.03</v>
      </c>
      <c r="D31" s="91">
        <v>0.85</v>
      </c>
      <c r="E31" s="91"/>
      <c r="F31" s="92">
        <v>4.5999999999999999E-2</v>
      </c>
      <c r="G31" s="92">
        <v>3.6499999999999998E-2</v>
      </c>
      <c r="H31" s="92">
        <v>4.9399999999999999E-2</v>
      </c>
      <c r="I31" s="93">
        <v>0.85</v>
      </c>
      <c r="J31" s="93"/>
      <c r="K31" s="92">
        <v>4.7E-2</v>
      </c>
      <c r="L31" s="92">
        <v>3.5000000000000003E-2</v>
      </c>
      <c r="M31" s="93">
        <v>0.85</v>
      </c>
    </row>
    <row r="32" spans="1:22" x14ac:dyDescent="0.3">
      <c r="A32" s="83">
        <v>36</v>
      </c>
      <c r="B32" s="92">
        <v>4.4999999999999998E-2</v>
      </c>
      <c r="C32" s="92">
        <v>0.03</v>
      </c>
      <c r="D32" s="91">
        <v>0.75</v>
      </c>
      <c r="E32" s="91"/>
      <c r="F32" s="92">
        <v>4.5999999999999999E-2</v>
      </c>
      <c r="G32" s="92">
        <v>3.6499999999999998E-2</v>
      </c>
      <c r="H32" s="92">
        <v>4.9399999999999999E-2</v>
      </c>
      <c r="I32" s="93">
        <v>0.8075</v>
      </c>
      <c r="J32" s="93"/>
      <c r="K32" s="92">
        <v>4.7E-2</v>
      </c>
      <c r="L32" s="92">
        <v>3.5000000000000003E-2</v>
      </c>
      <c r="M32" s="93">
        <v>0.75</v>
      </c>
    </row>
    <row r="33" spans="1:25" x14ac:dyDescent="0.3">
      <c r="A33" s="83">
        <v>48</v>
      </c>
      <c r="B33" s="92">
        <v>4.4999999999999998E-2</v>
      </c>
      <c r="C33" s="92">
        <v>0.03</v>
      </c>
      <c r="D33" s="91">
        <v>0.65</v>
      </c>
      <c r="E33" s="91"/>
      <c r="F33" s="92">
        <v>4.5999999999999999E-2</v>
      </c>
      <c r="G33" s="92">
        <v>3.6499999999999998E-2</v>
      </c>
      <c r="H33" s="92">
        <v>4.9399999999999999E-2</v>
      </c>
      <c r="I33" s="93">
        <v>0.7671</v>
      </c>
      <c r="J33" s="93"/>
      <c r="K33" s="92">
        <v>4.7E-2</v>
      </c>
      <c r="L33" s="92">
        <v>3.5000000000000003E-2</v>
      </c>
      <c r="M33" s="93">
        <v>0.65</v>
      </c>
    </row>
    <row r="34" spans="1:25" x14ac:dyDescent="0.3">
      <c r="A34" s="83">
        <v>60</v>
      </c>
      <c r="B34" s="92">
        <f>4.5%*1.3</f>
        <v>5.8499999999999996E-2</v>
      </c>
      <c r="C34" s="92">
        <v>0.03</v>
      </c>
      <c r="D34" s="91">
        <v>0.55000000000000004</v>
      </c>
      <c r="E34" s="91"/>
      <c r="F34" s="92">
        <v>6.6000000000000003E-2</v>
      </c>
      <c r="G34" s="92">
        <f>5.05%*1.2</f>
        <v>6.0599999999999994E-2</v>
      </c>
      <c r="H34" s="92">
        <v>6.7000000000000004E-2</v>
      </c>
      <c r="I34" s="93">
        <v>0.72870000000000001</v>
      </c>
      <c r="J34" s="93"/>
      <c r="K34" s="92">
        <v>6.2400000000000004E-2</v>
      </c>
      <c r="L34" s="92">
        <f>4.55%*1.2</f>
        <v>5.4599999999999996E-2</v>
      </c>
      <c r="M34" s="93">
        <v>0.55000000000000004</v>
      </c>
    </row>
    <row r="36" spans="1:25" x14ac:dyDescent="0.3">
      <c r="A36" s="107" t="str">
        <f>Conditions!D4</f>
        <v>Allianz</v>
      </c>
      <c r="B36" s="91">
        <f>IF(Conditions!$D$4="Bulstrad",data!D30,IF(Conditions!$D$4="Allianz",data!I30,IF(Conditions!$D$4="Uniqa",data!M30,"")))</f>
        <v>1</v>
      </c>
      <c r="F36" s="92">
        <f>F30*1.1</f>
        <v>4.5650000000000003E-2</v>
      </c>
      <c r="G36" s="92">
        <f>F36*(1-7%)*1.02</f>
        <v>4.3303590000000003E-2</v>
      </c>
    </row>
    <row r="37" spans="1:25" x14ac:dyDescent="0.3">
      <c r="B37" s="91">
        <f>IF(Conditions!$D$4="Bulstrad",data!D31,IF(Conditions!$D$4="Allianz",data!I31,IF(Conditions!$D$4="Uniqa",data!M31,"")))</f>
        <v>0.85</v>
      </c>
      <c r="F37" s="92">
        <f t="shared" ref="F37:F39" si="3">F31*1.1</f>
        <v>5.0600000000000006E-2</v>
      </c>
      <c r="G37" s="92">
        <f>F37*(1-7%)*1.02</f>
        <v>4.7999160000000006E-2</v>
      </c>
    </row>
    <row r="38" spans="1:25" x14ac:dyDescent="0.3">
      <c r="B38" s="91">
        <f>IF(Conditions!$D$4="Bulstrad",data!D32,IF(Conditions!$D$4="Allianz",data!I32,IF(Conditions!$D$4="Uniqa",data!M32,"")))</f>
        <v>0.8075</v>
      </c>
      <c r="F38" s="92">
        <f t="shared" si="3"/>
        <v>5.0600000000000006E-2</v>
      </c>
      <c r="G38" s="92">
        <f>F38*(1-7%)*1.02</f>
        <v>4.7999160000000006E-2</v>
      </c>
    </row>
    <row r="39" spans="1:25" x14ac:dyDescent="0.3">
      <c r="B39" s="91">
        <f>IF(Conditions!$D$4="Bulstrad",data!D33,IF(Conditions!$D$4="Allianz",data!I33,IF(Conditions!$D$4="Uniqa",data!M33,"")))</f>
        <v>0.7671</v>
      </c>
      <c r="F39" s="92">
        <f t="shared" si="3"/>
        <v>5.0600000000000006E-2</v>
      </c>
    </row>
    <row r="40" spans="1:25" x14ac:dyDescent="0.3">
      <c r="B40" s="91">
        <f>IF(Conditions!$D$4="Bulstrad",data!D34,IF(Conditions!$D$4="Allianz",data!I34,IF(Conditions!$D$4="Uniqa",data!M34,"")))</f>
        <v>0.72870000000000001</v>
      </c>
    </row>
    <row r="41" spans="1:25" ht="28.8" x14ac:dyDescent="0.3">
      <c r="B41" s="91"/>
      <c r="V41" s="183" t="s">
        <v>109</v>
      </c>
      <c r="W41" s="184" t="s">
        <v>111</v>
      </c>
      <c r="X41" s="185" t="s">
        <v>110</v>
      </c>
      <c r="Y41" s="185" t="s">
        <v>112</v>
      </c>
    </row>
    <row r="42" spans="1:25" x14ac:dyDescent="0.3">
      <c r="V42" s="181">
        <v>12</v>
      </c>
      <c r="W42" s="182">
        <v>4.2000000000000003E-2</v>
      </c>
      <c r="X42" s="92">
        <f>W42*(1-20%)</f>
        <v>3.3600000000000005E-2</v>
      </c>
      <c r="Y42" s="92">
        <f>W42*1.05*(1-20%)</f>
        <v>3.5280000000000006E-2</v>
      </c>
    </row>
    <row r="43" spans="1:25" x14ac:dyDescent="0.3">
      <c r="V43" s="181">
        <v>24</v>
      </c>
      <c r="W43" s="182">
        <v>4.7E-2</v>
      </c>
      <c r="X43" s="92">
        <f t="shared" ref="X43:X46" si="4">W43*(1-20%)</f>
        <v>3.7600000000000001E-2</v>
      </c>
      <c r="Y43" s="92">
        <f t="shared" ref="Y43:Y46" si="5">W43*1.05*(1-20%)</f>
        <v>3.9480000000000008E-2</v>
      </c>
    </row>
    <row r="44" spans="1:25" x14ac:dyDescent="0.3">
      <c r="V44" s="181">
        <v>36</v>
      </c>
      <c r="W44" s="182">
        <v>4.7E-2</v>
      </c>
      <c r="X44" s="92">
        <f t="shared" si="4"/>
        <v>3.7600000000000001E-2</v>
      </c>
      <c r="Y44" s="92">
        <f t="shared" si="5"/>
        <v>3.9480000000000008E-2</v>
      </c>
    </row>
    <row r="45" spans="1:25" x14ac:dyDescent="0.3">
      <c r="V45" s="181">
        <v>48</v>
      </c>
      <c r="W45" s="182">
        <v>4.7E-2</v>
      </c>
      <c r="X45" s="92">
        <f t="shared" si="4"/>
        <v>3.7600000000000001E-2</v>
      </c>
      <c r="Y45" s="92">
        <f t="shared" si="5"/>
        <v>3.9480000000000008E-2</v>
      </c>
    </row>
    <row r="46" spans="1:25" x14ac:dyDescent="0.3">
      <c r="V46" s="181">
        <v>60</v>
      </c>
      <c r="W46" s="182">
        <v>6.2400000000000004E-2</v>
      </c>
      <c r="X46" s="92">
        <f t="shared" si="4"/>
        <v>4.9920000000000006E-2</v>
      </c>
      <c r="Y46" s="92">
        <f t="shared" si="5"/>
        <v>5.2416000000000011E-2</v>
      </c>
    </row>
  </sheetData>
  <dataValidations count="6">
    <dataValidation type="list" allowBlank="1" showInputMessage="1" showErrorMessage="1" sqref="B20" xr:uid="{00000000-0002-0000-0400-000000000000}">
      <formula1>$B$16:$B$18</formula1>
    </dataValidation>
    <dataValidation type="list" allowBlank="1" showInputMessage="1" showErrorMessage="1" sqref="F20" xr:uid="{00000000-0002-0000-0400-000001000000}">
      <formula1>$F$16:$F$18</formula1>
    </dataValidation>
    <dataValidation type="list" allowBlank="1" showInputMessage="1" showErrorMessage="1" sqref="K20" xr:uid="{00000000-0002-0000-0400-000002000000}">
      <formula1>$K$16:$K$18</formula1>
    </dataValidation>
    <dataValidation type="list" allowBlank="1" showInputMessage="1" showErrorMessage="1" sqref="B5:B14 B21" xr:uid="{00000000-0002-0000-0400-000003000000}">
      <formula1>$B$5:$B$14</formula1>
    </dataValidation>
    <dataValidation type="list" allowBlank="1" showInputMessage="1" showErrorMessage="1" sqref="F21" xr:uid="{00000000-0002-0000-0400-000004000000}">
      <formula1>$F$5:$F$12</formula1>
    </dataValidation>
    <dataValidation type="list" allowBlank="1" showInputMessage="1" showErrorMessage="1" sqref="K21" xr:uid="{00000000-0002-0000-0400-000005000000}">
      <formula1>$K$5:$K$12</formula1>
    </dataValidation>
  </dataValidations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Conditions</vt:lpstr>
      <vt:lpstr>Leasing</vt:lpstr>
      <vt:lpstr>Mobility</vt:lpstr>
      <vt:lpstr>Customer</vt:lpstr>
      <vt:lpstr>data</vt:lpstr>
      <vt:lpstr>Conditions!Print_Area</vt:lpstr>
    </vt:vector>
  </TitlesOfParts>
  <Company>Porsche Leasing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vasilevaa</dc:creator>
  <cp:lastModifiedBy>Yordan Yordanov</cp:lastModifiedBy>
  <cp:lastPrinted>2017-12-21T12:07:44Z</cp:lastPrinted>
  <dcterms:created xsi:type="dcterms:W3CDTF">2015-10-02T07:08:56Z</dcterms:created>
  <dcterms:modified xsi:type="dcterms:W3CDTF">2022-08-15T08:18:23Z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2022-08-03T08:05:21Z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b8a64487-b73a-4fe4-8c9c-bd97b5e0578c</vt:lpwstr>
  </property>
  <property fmtid="{D5CDD505-2E9C-101B-9397-08002B2CF9AE}" pid="8" name="MSIP_Label_43d67188-4396-4f49-b241-070cf408d0d1_ContentBits">
    <vt:lpwstr>2</vt:lpwstr>
  </property>
</Properties>
</file>